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lgarycity.sharepoint.com/sites/Off-SiteLevyCoreTeam-CG-OSLCoreTeaminternal/Shared Documents/OSL Core Team (internal)/OSL - Financial Modeling/Water/"/>
    </mc:Choice>
  </mc:AlternateContent>
  <xr:revisionPtr revIDLastSave="170" documentId="13_ncr:1_{D9537527-E018-4DD4-9C70-0EC342745A0A}" xr6:coauthVersionLast="47" xr6:coauthVersionMax="47" xr10:uidLastSave="{11ECEDFF-B07C-4517-A8F2-EB4D1BC3D811}"/>
  <bookViews>
    <workbookView xWindow="-120" yWindow="-120" windowWidth="29040" windowHeight="15720" activeTab="1" xr2:uid="{F3DC414E-770C-4DB5-9684-7ABF2F5DE27F}"/>
  </bookViews>
  <sheets>
    <sheet name="Readme" sheetId="30" r:id="rId1"/>
    <sheet name="NWSO" sheetId="29" r:id="rId2"/>
    <sheet name="Mt View PS" sheetId="26" r:id="rId3"/>
    <sheet name="TransCanada Trunk" sheetId="23" r:id="rId4"/>
    <sheet name="New WTP" sheetId="24" r:id="rId5"/>
    <sheet name="Forest Lawn Creek" sheetId="27" r:id="rId6"/>
    <sheet name="Ogden FM" sheetId="6" r:id="rId7"/>
    <sheet name="Lower Sarcee FM" sheetId="7" r:id="rId8"/>
    <sheet name="210 Ave FM&amp;PS" sheetId="8" r:id="rId9"/>
    <sheet name="East McKenzie FM" sheetId="9" r:id="rId10"/>
    <sheet name="Northridge &amp; PS36" sheetId="11" r:id="rId11"/>
    <sheet name="Saddleridge Trunk" sheetId="12" r:id="rId12"/>
    <sheet name="Bowness Trunk" sheetId="13" r:id="rId13"/>
    <sheet name="Shouldice Trunk" sheetId="14" r:id="rId14"/>
    <sheet name="Nose Creek Trunk" sheetId="15" r:id="rId15"/>
    <sheet name="Inglewood Trunk" sheetId="16" r:id="rId16"/>
    <sheet name="McKenzie Siphon" sheetId="17" r:id="rId17"/>
    <sheet name="Wastewater Treatment - North" sheetId="18" r:id="rId18"/>
    <sheet name="Wastewater Treatment - South" sheetId="19" r:id="rId19"/>
    <sheet name="Water Treatment - North" sheetId="20" r:id="rId20"/>
    <sheet name="Water Treatment - South" sheetId="21"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4" l="1"/>
  <c r="C15" i="24"/>
  <c r="D22" i="29"/>
  <c r="C22" i="29"/>
  <c r="E22" i="29"/>
  <c r="D15" i="29"/>
  <c r="C15" i="29"/>
  <c r="E22" i="24" l="1"/>
  <c r="D12" i="27"/>
  <c r="C12" i="27"/>
  <c r="E12" i="26"/>
  <c r="D12" i="26"/>
  <c r="D13" i="26" s="1"/>
  <c r="C12" i="26"/>
  <c r="D22" i="24"/>
  <c r="C22" i="24"/>
  <c r="E13" i="26" l="1"/>
  <c r="C13" i="26"/>
  <c r="E12" i="23" l="1"/>
  <c r="D12" i="23"/>
  <c r="C12" i="23"/>
  <c r="D12" i="21"/>
  <c r="D13" i="21" s="1"/>
  <c r="C12" i="21"/>
  <c r="C13" i="21" s="1"/>
  <c r="D14" i="20"/>
  <c r="E14" i="20"/>
  <c r="C14" i="20"/>
  <c r="D13" i="20"/>
  <c r="C13" i="20"/>
  <c r="D12" i="20"/>
  <c r="C12" i="20"/>
  <c r="E12" i="19"/>
  <c r="D12" i="19"/>
  <c r="C12" i="19"/>
  <c r="E12" i="18"/>
  <c r="E13" i="18" s="1"/>
  <c r="D12" i="18"/>
  <c r="C12" i="18"/>
  <c r="C13" i="23" l="1"/>
  <c r="D13" i="23"/>
  <c r="E13" i="23"/>
  <c r="D14" i="21"/>
  <c r="C14" i="21"/>
  <c r="E14" i="21"/>
  <c r="C13" i="19"/>
  <c r="D13" i="19"/>
  <c r="E13" i="19"/>
  <c r="C13" i="18"/>
  <c r="D13" i="18"/>
  <c r="C26" i="17" l="1"/>
  <c r="C27" i="17" s="1"/>
  <c r="E13" i="17"/>
  <c r="D13" i="17"/>
  <c r="C13" i="17"/>
  <c r="C26" i="16"/>
  <c r="C27" i="16" s="1"/>
  <c r="E13" i="16"/>
  <c r="D13" i="16"/>
  <c r="C13" i="16"/>
  <c r="C14" i="16" s="1"/>
  <c r="C26" i="15"/>
  <c r="C27" i="15" s="1"/>
  <c r="E13" i="15"/>
  <c r="D13" i="15"/>
  <c r="C13" i="15"/>
  <c r="C26" i="14"/>
  <c r="C27" i="14" s="1"/>
  <c r="E13" i="14"/>
  <c r="D13" i="14"/>
  <c r="C13" i="14"/>
  <c r="C27" i="13"/>
  <c r="C26" i="13"/>
  <c r="E13" i="13"/>
  <c r="D13" i="13"/>
  <c r="C13" i="13"/>
  <c r="E12" i="12"/>
  <c r="D12" i="12"/>
  <c r="C12" i="12"/>
  <c r="C13" i="12" s="1"/>
  <c r="E12" i="11"/>
  <c r="D12" i="11"/>
  <c r="C12" i="11"/>
  <c r="E12" i="9"/>
  <c r="D12" i="9"/>
  <c r="C12" i="9"/>
  <c r="C13" i="9" s="1"/>
  <c r="E12" i="8"/>
  <c r="D12" i="8"/>
  <c r="C12" i="8"/>
  <c r="C13" i="8" s="1"/>
  <c r="D14" i="17" l="1"/>
  <c r="E14" i="17"/>
  <c r="C14" i="17"/>
  <c r="D14" i="16"/>
  <c r="E14" i="16"/>
  <c r="C14" i="15"/>
  <c r="D14" i="15"/>
  <c r="E14" i="15"/>
  <c r="C14" i="14"/>
  <c r="D14" i="14"/>
  <c r="E14" i="14"/>
  <c r="C14" i="13"/>
  <c r="E14" i="13"/>
  <c r="D14" i="13"/>
  <c r="D13" i="12"/>
  <c r="E13" i="12"/>
  <c r="C13" i="11"/>
  <c r="D13" i="11"/>
  <c r="E13" i="11"/>
  <c r="D13" i="9"/>
  <c r="E13" i="9"/>
  <c r="D13" i="8"/>
  <c r="E13" i="8"/>
  <c r="E12" i="7" l="1"/>
  <c r="D12" i="7"/>
  <c r="C12" i="7"/>
  <c r="D13" i="6"/>
  <c r="E13" i="6"/>
  <c r="D12" i="6"/>
  <c r="E12" i="6"/>
  <c r="C13" i="6" s="1"/>
  <c r="C12" i="6"/>
  <c r="C13" i="7" l="1"/>
  <c r="D13" i="7"/>
  <c r="E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tc={3768240B-6142-4F45-B341-FCB4B15DBB24}</author>
  </authors>
  <commentList>
    <comment ref="C9" authorId="0" shapeId="0" xr:uid="{3768240B-6142-4F45-B341-FCB4B15DBB24}">
      <text>
        <t>[Threaded comment]
Your version of Excel allows you to read this threaded comment; however, any edits to it will get removed if the file is opened in a newer version of Excel. Learn more: https://go.microsoft.com/fwlink/?linkid=870924
Comment:
    The breakdown of total population for 2019 and 2048 is not available, however the incremental population for greenfield and established area is available and used to calculate the benefit allocation.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tc={C425BA08-CC55-4643-877F-E90862A6E220}</author>
  </authors>
  <commentList>
    <comment ref="C9" authorId="0" shapeId="0" xr:uid="{C425BA08-CC55-4643-877F-E90862A6E220}">
      <text>
        <t>[Threaded comment]
Your version of Excel allows you to read this threaded comment; however, any edits to it will get removed if the file is opened in a newer version of Excel. Learn more: https://go.microsoft.com/fwlink/?linkid=870924
Comment:
    The breakdown of total population for 2035 and 2048 is not available, however the incremental population for greenfield and established area is available and used to calculate the benefit allocation.</t>
      </text>
    </comment>
  </commentList>
</comments>
</file>

<file path=xl/sharedStrings.xml><?xml version="1.0" encoding="utf-8"?>
<sst xmlns="http://schemas.openxmlformats.org/spreadsheetml/2006/main" count="307" uniqueCount="58">
  <si>
    <t>Base Year</t>
  </si>
  <si>
    <t xml:space="preserve">Anticipated Built Out Year </t>
  </si>
  <si>
    <t>Greenfield</t>
  </si>
  <si>
    <t>Benefit Area</t>
  </si>
  <si>
    <t>Top Hill Pressure Zone</t>
  </si>
  <si>
    <t>Established Area</t>
  </si>
  <si>
    <t>Benefit Allocation</t>
  </si>
  <si>
    <t>Regional</t>
  </si>
  <si>
    <t>Year Prepared</t>
  </si>
  <si>
    <t>Glenmore Pressure Zone</t>
  </si>
  <si>
    <t>Population</t>
  </si>
  <si>
    <t xml:space="preserve">Population Growth </t>
  </si>
  <si>
    <t>Project</t>
  </si>
  <si>
    <t>Ogden Feedermain</t>
  </si>
  <si>
    <t>Lower Sarcee Feedermain</t>
  </si>
  <si>
    <t>Lower Sarcee Pressure Zone</t>
  </si>
  <si>
    <t>East McKenzie Feedermain</t>
  </si>
  <si>
    <t>210 Ave SW Pump Station &amp; 210 Ave Feedermain</t>
  </si>
  <si>
    <t>Spy Hill East Pressure Zone</t>
  </si>
  <si>
    <t>Saddle Ridge Sanitary Upgrade</t>
  </si>
  <si>
    <t>Bowness Trunk Upgrade</t>
  </si>
  <si>
    <t>Year Identified</t>
  </si>
  <si>
    <t>Growth Percentage Determination</t>
  </si>
  <si>
    <t>Total Population</t>
  </si>
  <si>
    <t>Service Percentage</t>
  </si>
  <si>
    <t>Growth Percentage</t>
  </si>
  <si>
    <t>Sanitary Catchment</t>
  </si>
  <si>
    <t>Shouldice Trunk Upgrade</t>
  </si>
  <si>
    <t>Nose Creek Trunk Upgrade</t>
  </si>
  <si>
    <t>Inglewood Trunk Upgrade</t>
  </si>
  <si>
    <t>McKenzie Siphon Upgrade</t>
  </si>
  <si>
    <t>Northridge Feedermain Ph1&amp;2, Northridge Reservoir, Northridge West Leg Feedermain, Pump Station 36 Installation</t>
  </si>
  <si>
    <t>Bonnybrook Wastewater Treatment Plant</t>
  </si>
  <si>
    <t>BB WWTP Blower Upgrades, BB WWTP 13.2&amp;5kV System Expansion, Bonnybrook Capacity Upgrade, BBWWTP Plant D Expansion, Power Management System, 600V System Upgrades, BB Struvite Recovery, BB Dewater Building, BB Centrate/Supernatant Treatment</t>
  </si>
  <si>
    <t>FC WWTP Capacity Assessment, Pine Creek WWTP Stage 2 Expansion</t>
  </si>
  <si>
    <t>Fish Creek &amp; Pine Creek Wastewater Treatment Plants</t>
  </si>
  <si>
    <t>BPWTP Capacity Upgrades, Bearspaw RTF Fourth Thickener, Bearspaw UV Disinfection</t>
  </si>
  <si>
    <t>Bearspaw Water Treatment Plant</t>
  </si>
  <si>
    <t>Additional Water Consumption (ML/D)</t>
  </si>
  <si>
    <t>GM WTP Capacity Expansion, Glenmore UV Disinfection</t>
  </si>
  <si>
    <t>Glenmore Water Treatment Plant</t>
  </si>
  <si>
    <t>New Water Treatment Plant</t>
  </si>
  <si>
    <t>Citywide &amp; Regional</t>
  </si>
  <si>
    <t>1,696,591</t>
  </si>
  <si>
    <t>2,073,207</t>
  </si>
  <si>
    <t>Additional Maximum Day Demand (ML/D)</t>
  </si>
  <si>
    <t>Assumed additional regional demand, based on Master Service Agreements (ML/D)</t>
  </si>
  <si>
    <t>Mountain View Pump Station Upgrade</t>
  </si>
  <si>
    <t>N/A</t>
  </si>
  <si>
    <t>See attached map</t>
  </si>
  <si>
    <t>Lands</t>
  </si>
  <si>
    <t>Forest Lawn Creek Improvements</t>
  </si>
  <si>
    <t>North Water Servicing Option</t>
  </si>
  <si>
    <t>North Hill Pressure Zone, Spy Hill East Pressure Zone, Airdrie</t>
  </si>
  <si>
    <t>376,722</t>
  </si>
  <si>
    <t>635,405</t>
  </si>
  <si>
    <t>The Max Day Demand (67+84) has been rounded down to 150ML/D for calculations</t>
  </si>
  <si>
    <t>TransCanada Trunk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</si>
</sst>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_(* #,##0.0000000_);_(* \(#,##0.000000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9" fontId="0" fillId="0" borderId="0" xfId="2" applyFont="1"/>
    <xf numFmtId="164" fontId="0" fillId="0" borderId="0" xfId="2" applyNumberFormat="1" applyFont="1"/>
    <xf numFmtId="9" fontId="0" fillId="0" borderId="0" xfId="2" applyNumberFormat="1" applyFont="1"/>
    <xf numFmtId="165" fontId="0" fillId="0" borderId="0" xfId="1" applyNumberFormat="1" applyFont="1"/>
    <xf numFmtId="0" fontId="0" fillId="0" borderId="0" xfId="0" applyAlignment="1">
      <alignment horizontal="right"/>
    </xf>
    <xf numFmtId="165" fontId="0" fillId="0" borderId="0" xfId="0" applyNumberFormat="1"/>
    <xf numFmtId="43" fontId="0" fillId="0" borderId="0" xfId="0" applyNumberFormat="1"/>
    <xf numFmtId="166" fontId="0" fillId="0" borderId="0" xfId="0" applyNumberFormat="1"/>
    <xf numFmtId="167" fontId="0" fillId="0" borderId="0" xfId="0" applyNumberFormat="1"/>
    <xf numFmtId="49" fontId="0" fillId="0" borderId="0" xfId="1" applyNumberFormat="1"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2</xdr:row>
      <xdr:rowOff>19050</xdr:rowOff>
    </xdr:from>
    <xdr:to>
      <xdr:col>9</xdr:col>
      <xdr:colOff>514350</xdr:colOff>
      <xdr:row>33</xdr:row>
      <xdr:rowOff>95250</xdr:rowOff>
    </xdr:to>
    <xdr:sp macro="" textlink="">
      <xdr:nvSpPr>
        <xdr:cNvPr id="2" name="TextBox 1">
          <a:extLst>
            <a:ext uri="{FF2B5EF4-FFF2-40B4-BE49-F238E27FC236}">
              <a16:creationId xmlns:a16="http://schemas.microsoft.com/office/drawing/2014/main" id="{878C1093-9D42-0F33-478B-194843A19CDE}"/>
            </a:ext>
          </a:extLst>
        </xdr:cNvPr>
        <xdr:cNvSpPr txBox="1"/>
      </xdr:nvSpPr>
      <xdr:spPr>
        <a:xfrm>
          <a:off x="447675" y="400050"/>
          <a:ext cx="5553075" cy="598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spreadsheets contained within this document shows the assumptions and inputs used to calculate the benefit and capital cost allocation of water utility projects within the Off-Site Levy framework. Wastewater extensions are allocated 100% to the greenfield, as these projects extend from the existing wastewater network to serve new greenfield communities only. Some water extensions are allocated 100% to the greenfield if the project serve new greenfield communities only. Some new water extensions provide redundancy and a level of service improvement to existing customers in the Established Area. The majority of new leviable stormwater projects serves new greenfield communities only. Only one new project (Forest Lawn Creek) provides drainage services to new communities and the Established Area.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Projects that have a 100% greenfield benefit allocation are not shown in these spreadsheets, all other projects that have a Established Area and/or Regional benefit are shown in these spreadsheets.</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228600</xdr:colOff>
      <xdr:row>9</xdr:row>
      <xdr:rowOff>180975</xdr:rowOff>
    </xdr:from>
    <xdr:to>
      <xdr:col>11</xdr:col>
      <xdr:colOff>9525</xdr:colOff>
      <xdr:row>23</xdr:row>
      <xdr:rowOff>161925</xdr:rowOff>
    </xdr:to>
    <xdr:sp macro="" textlink="">
      <xdr:nvSpPr>
        <xdr:cNvPr id="2" name="TextBox 1">
          <a:extLst>
            <a:ext uri="{FF2B5EF4-FFF2-40B4-BE49-F238E27FC236}">
              <a16:creationId xmlns:a16="http://schemas.microsoft.com/office/drawing/2014/main" id="{92556E8B-11F9-4D81-91F3-BA20BD37AB95}"/>
            </a:ext>
          </a:extLst>
        </xdr:cNvPr>
        <xdr:cNvSpPr txBox="1"/>
      </xdr:nvSpPr>
      <xdr:spPr>
        <a:xfrm>
          <a:off x="7400925" y="1895475"/>
          <a:ext cx="2828925" cy="264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Water Treatment's</a:t>
          </a:r>
          <a:r>
            <a:rPr lang="en-US" sz="1100" baseline="0"/>
            <a:t> benefit allocation is calculated based on the volume of water consumed. Calgary's maximum day demand was 650 liters/capita/day. Regional's benefit allocation was calculated based on the maximum contract volumes Calgary has to deliver per day.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10</xdr:row>
      <xdr:rowOff>133350</xdr:rowOff>
    </xdr:from>
    <xdr:to>
      <xdr:col>13</xdr:col>
      <xdr:colOff>571500</xdr:colOff>
      <xdr:row>33</xdr:row>
      <xdr:rowOff>171450</xdr:rowOff>
    </xdr:to>
    <xdr:sp macro="" textlink="">
      <xdr:nvSpPr>
        <xdr:cNvPr id="2" name="TextBox 1">
          <a:extLst>
            <a:ext uri="{FF2B5EF4-FFF2-40B4-BE49-F238E27FC236}">
              <a16:creationId xmlns:a16="http://schemas.microsoft.com/office/drawing/2014/main" id="{B9ABE5E7-E931-0265-EE9B-ABFE78407239}"/>
            </a:ext>
          </a:extLst>
        </xdr:cNvPr>
        <xdr:cNvSpPr txBox="1"/>
      </xdr:nvSpPr>
      <xdr:spPr>
        <a:xfrm>
          <a:off x="7753350" y="2038350"/>
          <a:ext cx="4514850" cy="441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project is expected</a:t>
          </a:r>
          <a:r>
            <a:rPr lang="en-US" sz="1100" baseline="0"/>
            <a:t> to have a capacity of 300ML/D. It will provide redundancy to Shaganappi Pump Station, which has a capacity of 100ML/D, therefore 66.67% of the project cost is alloted to growth, while 33.33% of the project cost is alloted to level of service improvements, due to the redundancy available.</a:t>
          </a:r>
        </a:p>
        <a:p>
          <a:endParaRPr lang="en-US" sz="1100" baseline="0"/>
        </a:p>
        <a:p>
          <a:r>
            <a:rPr lang="en-US" sz="1100" baseline="0"/>
            <a:t>Between 2019-2048, based on Master Service Agreements, Calgary will have to deliver an additional maximum of 50ML/D to Airdrie. After redundancy and regional considerations, 150ML/D will be available to serve Calgary's growth.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400050</xdr:colOff>
      <xdr:row>1</xdr:row>
      <xdr:rowOff>161925</xdr:rowOff>
    </xdr:from>
    <xdr:to>
      <xdr:col>16</xdr:col>
      <xdr:colOff>180975</xdr:colOff>
      <xdr:row>45</xdr:row>
      <xdr:rowOff>0</xdr:rowOff>
    </xdr:to>
    <xdr:pic>
      <xdr:nvPicPr>
        <xdr:cNvPr id="2" name="Picture 2">
          <a:extLst>
            <a:ext uri="{FF2B5EF4-FFF2-40B4-BE49-F238E27FC236}">
              <a16:creationId xmlns:a16="http://schemas.microsoft.com/office/drawing/2014/main" id="{3BCB7D1E-B774-4CF0-9EA9-862F17952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352425"/>
          <a:ext cx="5267325" cy="822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180975</xdr:colOff>
      <xdr:row>17</xdr:row>
      <xdr:rowOff>66675</xdr:rowOff>
    </xdr:from>
    <xdr:to>
      <xdr:col>11</xdr:col>
      <xdr:colOff>38100</xdr:colOff>
      <xdr:row>36</xdr:row>
      <xdr:rowOff>76200</xdr:rowOff>
    </xdr:to>
    <xdr:sp macro="" textlink="">
      <xdr:nvSpPr>
        <xdr:cNvPr id="2" name="TextBox 1">
          <a:extLst>
            <a:ext uri="{FF2B5EF4-FFF2-40B4-BE49-F238E27FC236}">
              <a16:creationId xmlns:a16="http://schemas.microsoft.com/office/drawing/2014/main" id="{006680D1-3B0E-C37E-A8F3-FEEE7C1FC7B8}"/>
            </a:ext>
          </a:extLst>
        </xdr:cNvPr>
        <xdr:cNvSpPr txBox="1"/>
      </xdr:nvSpPr>
      <xdr:spPr>
        <a:xfrm>
          <a:off x="5048250" y="3305175"/>
          <a:ext cx="4467225"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need for this project was identified in 2009, however growth in its catchment was allowed to continue, with a reduction in the level of service. This project was initiated in 2014, and capacity is anticipated to be used up by 2039. </a:t>
          </a:r>
        </a:p>
        <a:p>
          <a:endParaRPr lang="en-US" sz="1100" baseline="0"/>
        </a:p>
        <a:p>
          <a:r>
            <a:rPr lang="en-US" sz="1100" baseline="0"/>
            <a:t>Therefore, population growth between 2009 and 2014 alloted to "Service", which brings back the original level of service. Growth between 2014-2039 is alloted to "Growth".</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180975</xdr:colOff>
      <xdr:row>17</xdr:row>
      <xdr:rowOff>66675</xdr:rowOff>
    </xdr:from>
    <xdr:to>
      <xdr:col>11</xdr:col>
      <xdr:colOff>38100</xdr:colOff>
      <xdr:row>36</xdr:row>
      <xdr:rowOff>76200</xdr:rowOff>
    </xdr:to>
    <xdr:sp macro="" textlink="">
      <xdr:nvSpPr>
        <xdr:cNvPr id="2" name="TextBox 1">
          <a:extLst>
            <a:ext uri="{FF2B5EF4-FFF2-40B4-BE49-F238E27FC236}">
              <a16:creationId xmlns:a16="http://schemas.microsoft.com/office/drawing/2014/main" id="{432A10D4-9544-454F-B48A-E0076B091C02}"/>
            </a:ext>
          </a:extLst>
        </xdr:cNvPr>
        <xdr:cNvSpPr txBox="1"/>
      </xdr:nvSpPr>
      <xdr:spPr>
        <a:xfrm>
          <a:off x="5048250" y="3305175"/>
          <a:ext cx="4467225"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need for this project was identified in 2009, however growth in its catchment was allowed to continue, with a reduction in the level of service. This project was initiated in 2019, and capacity is anticipated to be used up by 2039. </a:t>
          </a:r>
        </a:p>
        <a:p>
          <a:endParaRPr lang="en-US" sz="1100" baseline="0"/>
        </a:p>
        <a:p>
          <a:r>
            <a:rPr lang="en-US" sz="1100" baseline="0"/>
            <a:t>Therefore, population growth between 2009 and 2019 alloted to "Service", which brings back the original level of service. Growth between 2019-2039 is alloted to "Growth".</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180975</xdr:colOff>
      <xdr:row>17</xdr:row>
      <xdr:rowOff>66675</xdr:rowOff>
    </xdr:from>
    <xdr:to>
      <xdr:col>11</xdr:col>
      <xdr:colOff>38100</xdr:colOff>
      <xdr:row>36</xdr:row>
      <xdr:rowOff>76200</xdr:rowOff>
    </xdr:to>
    <xdr:sp macro="" textlink="">
      <xdr:nvSpPr>
        <xdr:cNvPr id="2" name="TextBox 1">
          <a:extLst>
            <a:ext uri="{FF2B5EF4-FFF2-40B4-BE49-F238E27FC236}">
              <a16:creationId xmlns:a16="http://schemas.microsoft.com/office/drawing/2014/main" id="{66820C3E-1817-421A-A7F3-8670111077B2}"/>
            </a:ext>
          </a:extLst>
        </xdr:cNvPr>
        <xdr:cNvSpPr txBox="1"/>
      </xdr:nvSpPr>
      <xdr:spPr>
        <a:xfrm>
          <a:off x="5048250" y="3305175"/>
          <a:ext cx="4467225"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need for this project was identified in 2011, however growth in its catchment was allowed to continue, with a reduction in the level of service. This project was initiated in 2014, and capacity is anticipated to be used up by 2039. </a:t>
          </a:r>
        </a:p>
        <a:p>
          <a:endParaRPr lang="en-US" sz="1100" baseline="0"/>
        </a:p>
        <a:p>
          <a:r>
            <a:rPr lang="en-US" sz="1100" baseline="0"/>
            <a:t>Therefore, population growth between 2011 and 2014 alloted to "Service", which brings back the original level of service. Growth between 2014-2039 is alloted to "Growth".</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17</xdr:row>
      <xdr:rowOff>66675</xdr:rowOff>
    </xdr:from>
    <xdr:to>
      <xdr:col>11</xdr:col>
      <xdr:colOff>38100</xdr:colOff>
      <xdr:row>36</xdr:row>
      <xdr:rowOff>76200</xdr:rowOff>
    </xdr:to>
    <xdr:sp macro="" textlink="">
      <xdr:nvSpPr>
        <xdr:cNvPr id="2" name="TextBox 1">
          <a:extLst>
            <a:ext uri="{FF2B5EF4-FFF2-40B4-BE49-F238E27FC236}">
              <a16:creationId xmlns:a16="http://schemas.microsoft.com/office/drawing/2014/main" id="{60E54F94-FCFF-4ADB-8949-69F6A24C6C82}"/>
            </a:ext>
          </a:extLst>
        </xdr:cNvPr>
        <xdr:cNvSpPr txBox="1"/>
      </xdr:nvSpPr>
      <xdr:spPr>
        <a:xfrm>
          <a:off x="5048250" y="3305175"/>
          <a:ext cx="4467225"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need for this project was identified in 2011, however growth in its catchment was allowed to continue, with a reduction in the level of service. This project was initiated in 2014, and capacity is anticipated to be used up by 2039. </a:t>
          </a:r>
        </a:p>
        <a:p>
          <a:endParaRPr lang="en-US" sz="1100" baseline="0"/>
        </a:p>
        <a:p>
          <a:r>
            <a:rPr lang="en-US" sz="1100" baseline="0"/>
            <a:t>Therefore, population growth between 2011 and 2014 alloted to "Service", which brings back the original level of service. Growth between 2014-2039 is alloted to "Growth".</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180975</xdr:colOff>
      <xdr:row>17</xdr:row>
      <xdr:rowOff>66675</xdr:rowOff>
    </xdr:from>
    <xdr:to>
      <xdr:col>11</xdr:col>
      <xdr:colOff>38100</xdr:colOff>
      <xdr:row>36</xdr:row>
      <xdr:rowOff>76200</xdr:rowOff>
    </xdr:to>
    <xdr:sp macro="" textlink="">
      <xdr:nvSpPr>
        <xdr:cNvPr id="2" name="TextBox 1">
          <a:extLst>
            <a:ext uri="{FF2B5EF4-FFF2-40B4-BE49-F238E27FC236}">
              <a16:creationId xmlns:a16="http://schemas.microsoft.com/office/drawing/2014/main" id="{E842ECC6-50AA-4480-A438-0D0286B6C96D}"/>
            </a:ext>
          </a:extLst>
        </xdr:cNvPr>
        <xdr:cNvSpPr txBox="1"/>
      </xdr:nvSpPr>
      <xdr:spPr>
        <a:xfrm>
          <a:off x="5048250" y="3305175"/>
          <a:ext cx="4467225"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need for this project was identified in 2011, however growth in its catchment was allowed to continue, with a reduction in the level of service. This project was initiated in 2014, and capacity is anticipated to be used up by 2039. </a:t>
          </a:r>
        </a:p>
        <a:p>
          <a:endParaRPr lang="en-US" sz="1100" baseline="0"/>
        </a:p>
        <a:p>
          <a:r>
            <a:rPr lang="en-US" sz="1100" baseline="0"/>
            <a:t>Therefore, population growth between 2011 and 2014 alloted to "Service", which brings back the original level of service. Growth between 2014-2039 is alloted to "Growth".</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9525</xdr:colOff>
      <xdr:row>10</xdr:row>
      <xdr:rowOff>85725</xdr:rowOff>
    </xdr:from>
    <xdr:to>
      <xdr:col>11</xdr:col>
      <xdr:colOff>400050</xdr:colOff>
      <xdr:row>24</xdr:row>
      <xdr:rowOff>66675</xdr:rowOff>
    </xdr:to>
    <xdr:sp macro="" textlink="">
      <xdr:nvSpPr>
        <xdr:cNvPr id="2" name="TextBox 1">
          <a:extLst>
            <a:ext uri="{FF2B5EF4-FFF2-40B4-BE49-F238E27FC236}">
              <a16:creationId xmlns:a16="http://schemas.microsoft.com/office/drawing/2014/main" id="{3F070447-15FA-0DAA-AF9D-EA8058843E13}"/>
            </a:ext>
          </a:extLst>
        </xdr:cNvPr>
        <xdr:cNvSpPr txBox="1"/>
      </xdr:nvSpPr>
      <xdr:spPr>
        <a:xfrm>
          <a:off x="7791450" y="1990725"/>
          <a:ext cx="2828925" cy="264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Water Treatment's</a:t>
          </a:r>
          <a:r>
            <a:rPr lang="en-US" sz="1100" baseline="0"/>
            <a:t> benefit allocation is calculated based on the volume of water consumed. Calgary's maximum day demand was 650 liters/capita/day. Regional's benefit allocation was calculated based on the maximum contract volumes Calgary has to deliver per day.</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Tse, Chris" id="{364B09AB-93D5-4E0A-9687-3029C6E0CF7F}" userId="S::CTSE1@calgary.ca::120e2938-42d9-4182-b5f9-95147f72418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3-11-30T23:20:03.23" personId="{364B09AB-93D5-4E0A-9687-3029C6E0CF7F}" id="{3768240B-6142-4F45-B341-FCB4B15DBB24}">
    <text>The breakdown of total population for 2019 and 2048 is not available, however the incremental population for greenfield and established area is available and used to calculate the benefit allocation.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C9" dT="2023-11-30T23:20:03.23" personId="{364B09AB-93D5-4E0A-9687-3029C6E0CF7F}" id="{C425BA08-CC55-4643-877F-E90862A6E220}">
    <text>The breakdown of total population for 2035 and 2048 is not available, however the incremental population for greenfield and established area is available and used to calculate the benefit allocation.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826B8-36D6-4794-B88E-FE72E496902A}">
  <dimension ref="A1"/>
  <sheetViews>
    <sheetView workbookViewId="0"/>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6AAF8-386B-4B19-90E5-C029CB825724}">
  <dimension ref="B1:E13"/>
  <sheetViews>
    <sheetView workbookViewId="0">
      <selection activeCell="B11" sqref="B1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16</v>
      </c>
    </row>
    <row r="2" spans="2:5" x14ac:dyDescent="0.45">
      <c r="B2" t="s">
        <v>8</v>
      </c>
      <c r="C2">
        <v>2015</v>
      </c>
    </row>
    <row r="3" spans="2:5" x14ac:dyDescent="0.45">
      <c r="B3" t="s">
        <v>0</v>
      </c>
      <c r="C3">
        <v>2015</v>
      </c>
    </row>
    <row r="4" spans="2:5" x14ac:dyDescent="0.45">
      <c r="B4" t="s">
        <v>1</v>
      </c>
      <c r="C4">
        <v>2041</v>
      </c>
    </row>
    <row r="6" spans="2:5" x14ac:dyDescent="0.45">
      <c r="B6" t="s">
        <v>3</v>
      </c>
      <c r="C6" t="s">
        <v>9</v>
      </c>
    </row>
    <row r="8" spans="2:5" x14ac:dyDescent="0.45">
      <c r="B8" t="s">
        <v>10</v>
      </c>
      <c r="C8" s="5" t="s">
        <v>2</v>
      </c>
      <c r="D8" s="5" t="s">
        <v>5</v>
      </c>
      <c r="E8" s="5" t="s">
        <v>7</v>
      </c>
    </row>
    <row r="9" spans="2:5" x14ac:dyDescent="0.45">
      <c r="B9">
        <v>2015</v>
      </c>
      <c r="C9" s="4">
        <v>4254</v>
      </c>
      <c r="D9" s="4">
        <v>691441</v>
      </c>
      <c r="E9" s="4">
        <v>32291</v>
      </c>
    </row>
    <row r="10" spans="2:5" x14ac:dyDescent="0.45">
      <c r="B10">
        <v>2041</v>
      </c>
      <c r="C10" s="4">
        <v>138903</v>
      </c>
      <c r="D10" s="4">
        <v>938350</v>
      </c>
      <c r="E10" s="4">
        <v>102730</v>
      </c>
    </row>
    <row r="11" spans="2:5" x14ac:dyDescent="0.45">
      <c r="C11" s="4"/>
      <c r="D11" s="4"/>
      <c r="E11" s="4"/>
    </row>
    <row r="12" spans="2:5" x14ac:dyDescent="0.45">
      <c r="B12" t="s">
        <v>11</v>
      </c>
      <c r="C12" s="4">
        <f>C10-C9</f>
        <v>134649</v>
      </c>
      <c r="D12" s="4">
        <f t="shared" ref="D12:E12" si="0">D10-D9</f>
        <v>246909</v>
      </c>
      <c r="E12" s="4">
        <f t="shared" si="0"/>
        <v>70439</v>
      </c>
    </row>
    <row r="13" spans="2:5" x14ac:dyDescent="0.45">
      <c r="B13" t="s">
        <v>6</v>
      </c>
      <c r="C13" s="2">
        <f>C12/SUM($C$12:$E$12)</f>
        <v>0.29789799489819624</v>
      </c>
      <c r="D13" s="2">
        <f t="shared" ref="D13:E13" si="1">D12/SUM($C$12:$E$12)</f>
        <v>0.54626247519341942</v>
      </c>
      <c r="E13" s="2">
        <f t="shared" si="1"/>
        <v>0.15583952990838434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6DB12-C0E8-4EBF-8EEB-39B00E514D33}">
  <dimension ref="B1:E13"/>
  <sheetViews>
    <sheetView workbookViewId="0">
      <selection activeCell="C2" sqref="C2"/>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31</v>
      </c>
    </row>
    <row r="2" spans="2:5" x14ac:dyDescent="0.45">
      <c r="B2" t="s">
        <v>8</v>
      </c>
      <c r="C2">
        <v>2015</v>
      </c>
    </row>
    <row r="3" spans="2:5" x14ac:dyDescent="0.45">
      <c r="B3" t="s">
        <v>0</v>
      </c>
      <c r="C3">
        <v>2019</v>
      </c>
    </row>
    <row r="4" spans="2:5" x14ac:dyDescent="0.45">
      <c r="B4" t="s">
        <v>1</v>
      </c>
      <c r="C4">
        <v>2039</v>
      </c>
    </row>
    <row r="6" spans="2:5" x14ac:dyDescent="0.45">
      <c r="B6" t="s">
        <v>3</v>
      </c>
      <c r="C6" t="s">
        <v>18</v>
      </c>
    </row>
    <row r="8" spans="2:5" x14ac:dyDescent="0.45">
      <c r="B8" t="s">
        <v>10</v>
      </c>
      <c r="C8" s="5" t="s">
        <v>2</v>
      </c>
      <c r="D8" s="5" t="s">
        <v>5</v>
      </c>
      <c r="E8" s="5" t="s">
        <v>7</v>
      </c>
    </row>
    <row r="9" spans="2:5" x14ac:dyDescent="0.45">
      <c r="B9">
        <v>2019</v>
      </c>
      <c r="C9" s="4">
        <v>8161</v>
      </c>
      <c r="D9" s="4">
        <v>79221</v>
      </c>
      <c r="E9" s="4">
        <v>0</v>
      </c>
    </row>
    <row r="10" spans="2:5" x14ac:dyDescent="0.45">
      <c r="B10">
        <v>2039</v>
      </c>
      <c r="C10" s="4">
        <v>46312</v>
      </c>
      <c r="D10" s="4">
        <v>86912</v>
      </c>
      <c r="E10" s="4">
        <v>0</v>
      </c>
    </row>
    <row r="11" spans="2:5" x14ac:dyDescent="0.45">
      <c r="C11" s="4"/>
      <c r="D11" s="4"/>
      <c r="E11" s="4"/>
    </row>
    <row r="12" spans="2:5" x14ac:dyDescent="0.45">
      <c r="B12" t="s">
        <v>11</v>
      </c>
      <c r="C12" s="4">
        <f>C10-C9</f>
        <v>38151</v>
      </c>
      <c r="D12" s="4">
        <f t="shared" ref="D12:E12" si="0">D10-D9</f>
        <v>7691</v>
      </c>
      <c r="E12" s="4">
        <f t="shared" si="0"/>
        <v>0</v>
      </c>
    </row>
    <row r="13" spans="2:5" x14ac:dyDescent="0.45">
      <c r="B13" t="s">
        <v>6</v>
      </c>
      <c r="C13" s="2">
        <f>C12/SUM($C$12:$E$12)</f>
        <v>0.83222808777976531</v>
      </c>
      <c r="D13" s="2">
        <f t="shared" ref="D13:E13" si="1">D12/SUM($C$12:$E$12)</f>
        <v>0.16777191222023471</v>
      </c>
      <c r="E13" s="2">
        <f t="shared" si="1"/>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FB0C-166C-446E-BEEE-760F16720B84}">
  <dimension ref="B1:E13"/>
  <sheetViews>
    <sheetView workbookViewId="0">
      <selection activeCell="C11" sqref="C1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19</v>
      </c>
    </row>
    <row r="2" spans="2:5" x14ac:dyDescent="0.45">
      <c r="B2" t="s">
        <v>8</v>
      </c>
      <c r="C2">
        <v>2015</v>
      </c>
    </row>
    <row r="3" spans="2:5" x14ac:dyDescent="0.45">
      <c r="B3" t="s">
        <v>0</v>
      </c>
      <c r="C3">
        <v>2015</v>
      </c>
    </row>
    <row r="4" spans="2:5" x14ac:dyDescent="0.45">
      <c r="B4" t="s">
        <v>1</v>
      </c>
      <c r="C4">
        <v>2039</v>
      </c>
    </row>
    <row r="6" spans="2:5" x14ac:dyDescent="0.45">
      <c r="B6" t="s">
        <v>3</v>
      </c>
      <c r="C6" t="s">
        <v>18</v>
      </c>
    </row>
    <row r="8" spans="2:5" x14ac:dyDescent="0.45">
      <c r="B8" t="s">
        <v>10</v>
      </c>
      <c r="C8" s="5" t="s">
        <v>2</v>
      </c>
      <c r="D8" s="5" t="s">
        <v>5</v>
      </c>
      <c r="E8" s="5" t="s">
        <v>7</v>
      </c>
    </row>
    <row r="9" spans="2:5" x14ac:dyDescent="0.45">
      <c r="B9">
        <v>2015</v>
      </c>
      <c r="C9" s="4">
        <v>1193</v>
      </c>
      <c r="D9" s="4">
        <v>73425</v>
      </c>
      <c r="E9" s="4">
        <v>0</v>
      </c>
    </row>
    <row r="10" spans="2:5" x14ac:dyDescent="0.45">
      <c r="B10">
        <v>2039</v>
      </c>
      <c r="C10" s="4">
        <v>8748</v>
      </c>
      <c r="D10" s="4">
        <v>82235</v>
      </c>
      <c r="E10" s="4">
        <v>0</v>
      </c>
    </row>
    <row r="11" spans="2:5" x14ac:dyDescent="0.45">
      <c r="C11" s="4"/>
      <c r="D11" s="4"/>
      <c r="E11" s="4"/>
    </row>
    <row r="12" spans="2:5" x14ac:dyDescent="0.45">
      <c r="B12" t="s">
        <v>11</v>
      </c>
      <c r="C12" s="4">
        <f>C10-C9</f>
        <v>7555</v>
      </c>
      <c r="D12" s="4">
        <f t="shared" ref="D12:E12" si="0">D10-D9</f>
        <v>8810</v>
      </c>
      <c r="E12" s="4">
        <f t="shared" si="0"/>
        <v>0</v>
      </c>
    </row>
    <row r="13" spans="2:5" x14ac:dyDescent="0.45">
      <c r="B13" t="s">
        <v>6</v>
      </c>
      <c r="C13" s="2">
        <f>C12/SUM($C$12:$E$12)</f>
        <v>0.46165597311335166</v>
      </c>
      <c r="D13" s="2">
        <f t="shared" ref="D13:E13" si="1">D12/SUM($C$12:$E$12)</f>
        <v>0.53834402688664829</v>
      </c>
      <c r="E13" s="2">
        <f t="shared" si="1"/>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F4FF-F3C7-4972-AA9C-97A8FC1CD010}">
  <dimension ref="B1:E27"/>
  <sheetViews>
    <sheetView workbookViewId="0">
      <selection activeCell="O26" sqref="O26"/>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20</v>
      </c>
    </row>
    <row r="2" spans="2:5" x14ac:dyDescent="0.45">
      <c r="B2" t="s">
        <v>8</v>
      </c>
      <c r="C2">
        <v>2015</v>
      </c>
    </row>
    <row r="3" spans="2:5" x14ac:dyDescent="0.45">
      <c r="B3" t="s">
        <v>21</v>
      </c>
      <c r="C3">
        <v>2009</v>
      </c>
    </row>
    <row r="4" spans="2:5" x14ac:dyDescent="0.45">
      <c r="B4" t="s">
        <v>0</v>
      </c>
      <c r="C4">
        <v>2014</v>
      </c>
    </row>
    <row r="5" spans="2:5" x14ac:dyDescent="0.45">
      <c r="B5" t="s">
        <v>1</v>
      </c>
      <c r="C5">
        <v>2039</v>
      </c>
    </row>
    <row r="7" spans="2:5" x14ac:dyDescent="0.45">
      <c r="B7" t="s">
        <v>3</v>
      </c>
      <c r="C7" t="s">
        <v>26</v>
      </c>
    </row>
    <row r="9" spans="2:5" x14ac:dyDescent="0.45">
      <c r="B9" t="s">
        <v>10</v>
      </c>
      <c r="C9" s="5" t="s">
        <v>2</v>
      </c>
      <c r="D9" s="5" t="s">
        <v>5</v>
      </c>
      <c r="E9" s="5" t="s">
        <v>7</v>
      </c>
    </row>
    <row r="10" spans="2:5" x14ac:dyDescent="0.45">
      <c r="B10">
        <v>2014</v>
      </c>
      <c r="C10" s="4">
        <v>616</v>
      </c>
      <c r="D10" s="4">
        <v>154567</v>
      </c>
      <c r="E10" s="4">
        <v>20708</v>
      </c>
    </row>
    <row r="11" spans="2:5" x14ac:dyDescent="0.45">
      <c r="B11">
        <v>2039</v>
      </c>
      <c r="C11" s="4">
        <v>15263</v>
      </c>
      <c r="D11" s="4">
        <v>185278</v>
      </c>
      <c r="E11" s="4">
        <v>51149</v>
      </c>
    </row>
    <row r="12" spans="2:5" x14ac:dyDescent="0.45">
      <c r="C12" s="4"/>
      <c r="D12" s="4"/>
      <c r="E12" s="4"/>
    </row>
    <row r="13" spans="2:5" x14ac:dyDescent="0.45">
      <c r="B13" t="s">
        <v>11</v>
      </c>
      <c r="C13" s="4">
        <f>C11-C10</f>
        <v>14647</v>
      </c>
      <c r="D13" s="4">
        <f t="shared" ref="D13:E13" si="0">D11-D10</f>
        <v>30711</v>
      </c>
      <c r="E13" s="4">
        <f t="shared" si="0"/>
        <v>30441</v>
      </c>
    </row>
    <row r="14" spans="2:5" x14ac:dyDescent="0.45">
      <c r="B14" t="s">
        <v>6</v>
      </c>
      <c r="C14" s="2">
        <f>C13/SUM($C$13:$E$13)</f>
        <v>0.19323473924458107</v>
      </c>
      <c r="D14" s="2">
        <f t="shared" ref="D14:E14" si="1">D13/SUM($C$13:$E$13)</f>
        <v>0.40516365651261887</v>
      </c>
      <c r="E14" s="2">
        <f t="shared" si="1"/>
        <v>0.40160160424280006</v>
      </c>
    </row>
    <row r="20" spans="2:3" x14ac:dyDescent="0.45">
      <c r="B20" t="s">
        <v>22</v>
      </c>
    </row>
    <row r="21" spans="2:3" x14ac:dyDescent="0.45">
      <c r="B21" t="s">
        <v>23</v>
      </c>
    </row>
    <row r="22" spans="2:3" x14ac:dyDescent="0.45">
      <c r="B22">
        <v>2009</v>
      </c>
      <c r="C22" s="4">
        <v>165006</v>
      </c>
    </row>
    <row r="23" spans="2:3" x14ac:dyDescent="0.45">
      <c r="B23">
        <v>2014</v>
      </c>
      <c r="C23" s="4">
        <v>175891</v>
      </c>
    </row>
    <row r="24" spans="2:3" x14ac:dyDescent="0.45">
      <c r="B24">
        <v>2039</v>
      </c>
      <c r="C24" s="4">
        <v>251690</v>
      </c>
    </row>
    <row r="26" spans="2:3" x14ac:dyDescent="0.45">
      <c r="B26" t="s">
        <v>24</v>
      </c>
      <c r="C26" s="1">
        <f>(C23-C22)/(C24-C22)</f>
        <v>0.12557103963822619</v>
      </c>
    </row>
    <row r="27" spans="2:3" x14ac:dyDescent="0.45">
      <c r="B27" t="s">
        <v>25</v>
      </c>
      <c r="C27" s="1">
        <f>1-C26</f>
        <v>0.87442896036177387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8440A-948B-4D26-8A3F-EA7DADF1E429}">
  <dimension ref="B1:E27"/>
  <sheetViews>
    <sheetView workbookViewId="0">
      <selection activeCell="K10" sqref="K10"/>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27</v>
      </c>
    </row>
    <row r="2" spans="2:5" x14ac:dyDescent="0.45">
      <c r="B2" t="s">
        <v>8</v>
      </c>
      <c r="C2">
        <v>2015</v>
      </c>
    </row>
    <row r="3" spans="2:5" x14ac:dyDescent="0.45">
      <c r="B3" t="s">
        <v>21</v>
      </c>
      <c r="C3">
        <v>2009</v>
      </c>
    </row>
    <row r="4" spans="2:5" x14ac:dyDescent="0.45">
      <c r="B4" t="s">
        <v>0</v>
      </c>
      <c r="C4">
        <v>2019</v>
      </c>
    </row>
    <row r="5" spans="2:5" x14ac:dyDescent="0.45">
      <c r="B5" t="s">
        <v>1</v>
      </c>
      <c r="C5">
        <v>2039</v>
      </c>
    </row>
    <row r="7" spans="2:5" x14ac:dyDescent="0.45">
      <c r="B7" t="s">
        <v>3</v>
      </c>
      <c r="C7" t="s">
        <v>26</v>
      </c>
    </row>
    <row r="9" spans="2:5" x14ac:dyDescent="0.45">
      <c r="B9" t="s">
        <v>10</v>
      </c>
      <c r="C9" s="5" t="s">
        <v>2</v>
      </c>
      <c r="D9" s="5" t="s">
        <v>5</v>
      </c>
      <c r="E9" s="5" t="s">
        <v>7</v>
      </c>
    </row>
    <row r="10" spans="2:5" x14ac:dyDescent="0.45">
      <c r="B10">
        <v>2019</v>
      </c>
      <c r="C10" s="4">
        <v>5764</v>
      </c>
      <c r="D10" s="4">
        <v>307891</v>
      </c>
      <c r="E10" s="4">
        <v>28320</v>
      </c>
    </row>
    <row r="11" spans="2:5" x14ac:dyDescent="0.45">
      <c r="B11">
        <v>2039</v>
      </c>
      <c r="C11" s="4">
        <v>19621</v>
      </c>
      <c r="D11" s="4">
        <v>390608</v>
      </c>
      <c r="E11" s="4">
        <v>51149</v>
      </c>
    </row>
    <row r="12" spans="2:5" x14ac:dyDescent="0.45">
      <c r="C12" s="4"/>
      <c r="D12" s="4"/>
      <c r="E12" s="4"/>
    </row>
    <row r="13" spans="2:5" x14ac:dyDescent="0.45">
      <c r="B13" t="s">
        <v>11</v>
      </c>
      <c r="C13" s="4">
        <f>C11-C10</f>
        <v>13857</v>
      </c>
      <c r="D13" s="4">
        <f t="shared" ref="D13:E13" si="0">D11-D10</f>
        <v>82717</v>
      </c>
      <c r="E13" s="4">
        <f t="shared" si="0"/>
        <v>22829</v>
      </c>
    </row>
    <row r="14" spans="2:5" x14ac:dyDescent="0.45">
      <c r="B14" t="s">
        <v>6</v>
      </c>
      <c r="C14" s="2">
        <f>C13/SUM($C$13:$E$13)</f>
        <v>0.11605236049345494</v>
      </c>
      <c r="D14" s="2">
        <f t="shared" ref="D14:E14" si="1">D13/SUM($C$13:$E$13)</f>
        <v>0.69275478840565141</v>
      </c>
      <c r="E14" s="2">
        <f t="shared" si="1"/>
        <v>0.19119285110089362</v>
      </c>
    </row>
    <row r="20" spans="2:3" x14ac:dyDescent="0.45">
      <c r="B20" t="s">
        <v>22</v>
      </c>
    </row>
    <row r="21" spans="2:3" x14ac:dyDescent="0.45">
      <c r="B21" t="s">
        <v>23</v>
      </c>
    </row>
    <row r="22" spans="2:3" x14ac:dyDescent="0.45">
      <c r="B22">
        <v>2009</v>
      </c>
      <c r="C22" s="4">
        <v>266789</v>
      </c>
    </row>
    <row r="23" spans="2:3" x14ac:dyDescent="0.45">
      <c r="B23">
        <v>2019</v>
      </c>
      <c r="C23" s="4">
        <v>341975</v>
      </c>
    </row>
    <row r="24" spans="2:3" x14ac:dyDescent="0.45">
      <c r="B24">
        <v>2039</v>
      </c>
      <c r="C24" s="4">
        <v>461378</v>
      </c>
    </row>
    <row r="26" spans="2:3" x14ac:dyDescent="0.45">
      <c r="B26" t="s">
        <v>24</v>
      </c>
      <c r="C26" s="1">
        <f>(C23-C22)/(C24-C22)</f>
        <v>0.3863836085287452</v>
      </c>
    </row>
    <row r="27" spans="2:3" x14ac:dyDescent="0.45">
      <c r="B27" t="s">
        <v>25</v>
      </c>
      <c r="C27" s="1">
        <f>1-C26</f>
        <v>0.6136163914712548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4571-2D94-4EFA-825E-E8C39673C672}">
  <dimension ref="B1:E27"/>
  <sheetViews>
    <sheetView workbookViewId="0">
      <selection activeCell="C11" sqref="C11:E1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28</v>
      </c>
    </row>
    <row r="2" spans="2:5" x14ac:dyDescent="0.45">
      <c r="B2" t="s">
        <v>8</v>
      </c>
      <c r="C2">
        <v>2015</v>
      </c>
    </row>
    <row r="3" spans="2:5" x14ac:dyDescent="0.45">
      <c r="B3" t="s">
        <v>21</v>
      </c>
      <c r="C3">
        <v>2011</v>
      </c>
    </row>
    <row r="4" spans="2:5" x14ac:dyDescent="0.45">
      <c r="B4" t="s">
        <v>0</v>
      </c>
      <c r="C4">
        <v>2014</v>
      </c>
    </row>
    <row r="5" spans="2:5" x14ac:dyDescent="0.45">
      <c r="B5" t="s">
        <v>1</v>
      </c>
      <c r="C5">
        <v>2039</v>
      </c>
    </row>
    <row r="7" spans="2:5" x14ac:dyDescent="0.45">
      <c r="B7" t="s">
        <v>3</v>
      </c>
      <c r="C7" t="s">
        <v>26</v>
      </c>
    </row>
    <row r="9" spans="2:5" x14ac:dyDescent="0.45">
      <c r="B9" t="s">
        <v>10</v>
      </c>
      <c r="C9" s="5" t="s">
        <v>2</v>
      </c>
      <c r="D9" s="5" t="s">
        <v>5</v>
      </c>
      <c r="E9" s="5" t="s">
        <v>7</v>
      </c>
    </row>
    <row r="10" spans="2:5" x14ac:dyDescent="0.45">
      <c r="B10">
        <v>2014</v>
      </c>
      <c r="C10" s="4">
        <v>4558</v>
      </c>
      <c r="D10" s="4">
        <v>159029</v>
      </c>
      <c r="E10" s="4">
        <v>54891</v>
      </c>
    </row>
    <row r="11" spans="2:5" x14ac:dyDescent="0.45">
      <c r="B11">
        <v>2039</v>
      </c>
      <c r="C11" s="4">
        <v>123902</v>
      </c>
      <c r="D11" s="4">
        <v>204268</v>
      </c>
      <c r="E11" s="4">
        <v>136939</v>
      </c>
    </row>
    <row r="12" spans="2:5" x14ac:dyDescent="0.45">
      <c r="C12" s="4"/>
      <c r="D12" s="4"/>
      <c r="E12" s="4"/>
    </row>
    <row r="13" spans="2:5" x14ac:dyDescent="0.45">
      <c r="B13" t="s">
        <v>11</v>
      </c>
      <c r="C13" s="4">
        <f>C11-C10</f>
        <v>119344</v>
      </c>
      <c r="D13" s="4">
        <f t="shared" ref="D13:E13" si="0">D11-D10</f>
        <v>45239</v>
      </c>
      <c r="E13" s="4">
        <f t="shared" si="0"/>
        <v>82048</v>
      </c>
    </row>
    <row r="14" spans="2:5" x14ac:dyDescent="0.45">
      <c r="B14" t="s">
        <v>6</v>
      </c>
      <c r="C14" s="2">
        <f>C13/SUM($C$13:$E$13)</f>
        <v>0.48389699591697716</v>
      </c>
      <c r="D14" s="2">
        <f t="shared" ref="D14:E14" si="1">D13/SUM($C$13:$E$13)</f>
        <v>0.18342787403043412</v>
      </c>
      <c r="E14" s="2">
        <f t="shared" si="1"/>
        <v>0.3326751300525887</v>
      </c>
    </row>
    <row r="20" spans="2:3" x14ac:dyDescent="0.45">
      <c r="B20" t="s">
        <v>22</v>
      </c>
    </row>
    <row r="21" spans="2:3" x14ac:dyDescent="0.45">
      <c r="B21" t="s">
        <v>23</v>
      </c>
    </row>
    <row r="22" spans="2:3" x14ac:dyDescent="0.45">
      <c r="B22">
        <v>2011</v>
      </c>
      <c r="C22" s="4">
        <v>186190</v>
      </c>
    </row>
    <row r="23" spans="2:3" x14ac:dyDescent="0.45">
      <c r="B23">
        <v>2014</v>
      </c>
      <c r="C23" s="4">
        <v>218478</v>
      </c>
    </row>
    <row r="24" spans="2:3" x14ac:dyDescent="0.45">
      <c r="B24">
        <v>2039</v>
      </c>
      <c r="C24" s="4">
        <v>465109</v>
      </c>
    </row>
    <row r="26" spans="2:3" x14ac:dyDescent="0.45">
      <c r="B26" t="s">
        <v>24</v>
      </c>
      <c r="C26" s="1">
        <f>(C23-C22)/(C24-C22)</f>
        <v>0.11576120665856396</v>
      </c>
    </row>
    <row r="27" spans="2:3" x14ac:dyDescent="0.45">
      <c r="B27" t="s">
        <v>25</v>
      </c>
      <c r="C27" s="1">
        <f>1-C26</f>
        <v>0.88423879334143607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78FD-7A57-4194-AB3C-D33A177AD5A7}">
  <dimension ref="B1:E27"/>
  <sheetViews>
    <sheetView topLeftCell="A8" workbookViewId="0">
      <selection activeCell="C16" sqref="C16"/>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29</v>
      </c>
    </row>
    <row r="2" spans="2:5" x14ac:dyDescent="0.45">
      <c r="B2" t="s">
        <v>8</v>
      </c>
      <c r="C2">
        <v>2015</v>
      </c>
    </row>
    <row r="3" spans="2:5" x14ac:dyDescent="0.45">
      <c r="B3" t="s">
        <v>21</v>
      </c>
      <c r="C3">
        <v>2011</v>
      </c>
    </row>
    <row r="4" spans="2:5" x14ac:dyDescent="0.45">
      <c r="B4" t="s">
        <v>0</v>
      </c>
      <c r="C4">
        <v>2014</v>
      </c>
    </row>
    <row r="5" spans="2:5" x14ac:dyDescent="0.45">
      <c r="B5" t="s">
        <v>1</v>
      </c>
      <c r="C5">
        <v>2039</v>
      </c>
    </row>
    <row r="7" spans="2:5" x14ac:dyDescent="0.45">
      <c r="B7" t="s">
        <v>3</v>
      </c>
      <c r="C7" t="s">
        <v>26</v>
      </c>
    </row>
    <row r="9" spans="2:5" x14ac:dyDescent="0.45">
      <c r="B9" t="s">
        <v>10</v>
      </c>
      <c r="C9" s="5" t="s">
        <v>2</v>
      </c>
      <c r="D9" s="5" t="s">
        <v>5</v>
      </c>
      <c r="E9" s="5" t="s">
        <v>7</v>
      </c>
    </row>
    <row r="10" spans="2:5" x14ac:dyDescent="0.45">
      <c r="B10">
        <v>2014</v>
      </c>
      <c r="C10" s="4">
        <v>10927</v>
      </c>
      <c r="D10" s="4">
        <v>980984</v>
      </c>
      <c r="E10" s="4">
        <v>78850</v>
      </c>
    </row>
    <row r="11" spans="2:5" x14ac:dyDescent="0.45">
      <c r="B11">
        <v>2039</v>
      </c>
      <c r="C11" s="4">
        <v>156822</v>
      </c>
      <c r="D11" s="4">
        <v>1330240</v>
      </c>
      <c r="E11" s="4">
        <v>192588</v>
      </c>
    </row>
    <row r="12" spans="2:5" x14ac:dyDescent="0.45">
      <c r="C12" s="4"/>
      <c r="D12" s="4"/>
      <c r="E12" s="4"/>
    </row>
    <row r="13" spans="2:5" x14ac:dyDescent="0.45">
      <c r="B13" t="s">
        <v>11</v>
      </c>
      <c r="C13" s="4">
        <f>C11-C10</f>
        <v>145895</v>
      </c>
      <c r="D13" s="4">
        <f t="shared" ref="D13:E13" si="0">D11-D10</f>
        <v>349256</v>
      </c>
      <c r="E13" s="4">
        <f t="shared" si="0"/>
        <v>113738</v>
      </c>
    </row>
    <row r="14" spans="2:5" x14ac:dyDescent="0.45">
      <c r="B14" t="s">
        <v>6</v>
      </c>
      <c r="C14" s="2">
        <f>C13/SUM($C$13:$E$13)</f>
        <v>0.23960853291815093</v>
      </c>
      <c r="D14" s="2">
        <f t="shared" ref="D14:E14" si="1">D13/SUM($C$13:$E$13)</f>
        <v>0.57359551576724166</v>
      </c>
      <c r="E14" s="2">
        <f t="shared" si="1"/>
        <v>0.18679595131460741</v>
      </c>
    </row>
    <row r="20" spans="2:3" x14ac:dyDescent="0.45">
      <c r="B20" t="s">
        <v>22</v>
      </c>
    </row>
    <row r="21" spans="2:3" x14ac:dyDescent="0.45">
      <c r="B21" t="s">
        <v>23</v>
      </c>
    </row>
    <row r="22" spans="2:3" x14ac:dyDescent="0.45">
      <c r="B22">
        <v>2011</v>
      </c>
      <c r="C22" s="4">
        <v>975790</v>
      </c>
    </row>
    <row r="23" spans="2:3" x14ac:dyDescent="0.45">
      <c r="B23">
        <v>2014</v>
      </c>
      <c r="C23" s="4">
        <v>1070761</v>
      </c>
    </row>
    <row r="24" spans="2:3" x14ac:dyDescent="0.45">
      <c r="B24">
        <v>2039</v>
      </c>
      <c r="C24" s="4">
        <v>1679650</v>
      </c>
    </row>
    <row r="26" spans="2:3" x14ac:dyDescent="0.45">
      <c r="B26" t="s">
        <v>24</v>
      </c>
      <c r="C26" s="1">
        <f>(C23-C22)/(C24-C22)</f>
        <v>0.13492882107237233</v>
      </c>
    </row>
    <row r="27" spans="2:3" x14ac:dyDescent="0.45">
      <c r="B27" t="s">
        <v>25</v>
      </c>
      <c r="C27" s="1">
        <f>1-C26</f>
        <v>0.86507117892762764</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37A9-8BDD-4122-A575-459E46DEB620}">
  <dimension ref="B1:E27"/>
  <sheetViews>
    <sheetView workbookViewId="0">
      <selection activeCell="C11" sqref="C11:D1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30</v>
      </c>
    </row>
    <row r="2" spans="2:5" x14ac:dyDescent="0.45">
      <c r="B2" t="s">
        <v>8</v>
      </c>
      <c r="C2">
        <v>2015</v>
      </c>
    </row>
    <row r="3" spans="2:5" x14ac:dyDescent="0.45">
      <c r="B3" t="s">
        <v>21</v>
      </c>
      <c r="C3">
        <v>2014</v>
      </c>
    </row>
    <row r="4" spans="2:5" x14ac:dyDescent="0.45">
      <c r="B4" t="s">
        <v>0</v>
      </c>
      <c r="C4">
        <v>2018</v>
      </c>
    </row>
    <row r="5" spans="2:5" x14ac:dyDescent="0.45">
      <c r="B5" t="s">
        <v>1</v>
      </c>
      <c r="C5">
        <v>2039</v>
      </c>
    </row>
    <row r="7" spans="2:5" x14ac:dyDescent="0.45">
      <c r="B7" t="s">
        <v>3</v>
      </c>
      <c r="C7" t="s">
        <v>26</v>
      </c>
    </row>
    <row r="9" spans="2:5" x14ac:dyDescent="0.45">
      <c r="B9" t="s">
        <v>10</v>
      </c>
      <c r="C9" s="5" t="s">
        <v>2</v>
      </c>
      <c r="D9" s="5" t="s">
        <v>5</v>
      </c>
      <c r="E9" s="5" t="s">
        <v>7</v>
      </c>
    </row>
    <row r="10" spans="2:5" x14ac:dyDescent="0.45">
      <c r="B10">
        <v>2018</v>
      </c>
      <c r="C10" s="4">
        <v>10088</v>
      </c>
      <c r="D10" s="4">
        <v>97484</v>
      </c>
      <c r="E10" s="4">
        <v>0</v>
      </c>
    </row>
    <row r="11" spans="2:5" x14ac:dyDescent="0.45">
      <c r="B11">
        <v>2039</v>
      </c>
      <c r="C11" s="4">
        <v>15805</v>
      </c>
      <c r="D11" s="4">
        <v>105883</v>
      </c>
      <c r="E11" s="4">
        <v>0</v>
      </c>
    </row>
    <row r="12" spans="2:5" x14ac:dyDescent="0.45">
      <c r="C12" s="4"/>
      <c r="D12" s="4"/>
      <c r="E12" s="4"/>
    </row>
    <row r="13" spans="2:5" x14ac:dyDescent="0.45">
      <c r="B13" t="s">
        <v>11</v>
      </c>
      <c r="C13" s="4">
        <f>C11-C10</f>
        <v>5717</v>
      </c>
      <c r="D13" s="4">
        <f t="shared" ref="D13:E13" si="0">D11-D10</f>
        <v>8399</v>
      </c>
      <c r="E13" s="4">
        <f t="shared" si="0"/>
        <v>0</v>
      </c>
    </row>
    <row r="14" spans="2:5" x14ac:dyDescent="0.45">
      <c r="B14" t="s">
        <v>6</v>
      </c>
      <c r="C14" s="2">
        <f>C13/SUM($C$13:$E$13)</f>
        <v>0.40500141683196372</v>
      </c>
      <c r="D14" s="2">
        <f t="shared" ref="D14:E14" si="1">D13/SUM($C$13:$E$13)</f>
        <v>0.59499858316803622</v>
      </c>
      <c r="E14" s="2">
        <f t="shared" si="1"/>
        <v>0</v>
      </c>
    </row>
    <row r="20" spans="2:3" x14ac:dyDescent="0.45">
      <c r="B20" t="s">
        <v>22</v>
      </c>
    </row>
    <row r="21" spans="2:3" x14ac:dyDescent="0.45">
      <c r="B21" t="s">
        <v>23</v>
      </c>
    </row>
    <row r="22" spans="2:3" x14ac:dyDescent="0.45">
      <c r="B22">
        <v>2014</v>
      </c>
      <c r="C22" s="4">
        <v>84135</v>
      </c>
    </row>
    <row r="23" spans="2:3" x14ac:dyDescent="0.45">
      <c r="B23">
        <v>2018</v>
      </c>
      <c r="C23" s="4">
        <v>107572</v>
      </c>
    </row>
    <row r="24" spans="2:3" x14ac:dyDescent="0.45">
      <c r="B24">
        <v>2039</v>
      </c>
      <c r="C24" s="4">
        <v>121688</v>
      </c>
    </row>
    <row r="26" spans="2:3" x14ac:dyDescent="0.45">
      <c r="B26" t="s">
        <v>24</v>
      </c>
      <c r="C26" s="1">
        <f>(C23-C22)/(C24-C22)</f>
        <v>0.62410459883364844</v>
      </c>
    </row>
    <row r="27" spans="2:3" x14ac:dyDescent="0.45">
      <c r="B27" t="s">
        <v>25</v>
      </c>
      <c r="C27" s="1">
        <f>1-C26</f>
        <v>0.37589540116635156</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60741-369A-4E4F-A38C-2943E961FFB9}">
  <dimension ref="B1:E13"/>
  <sheetViews>
    <sheetView workbookViewId="0">
      <selection activeCell="C1" sqref="C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33</v>
      </c>
    </row>
    <row r="2" spans="2:5" x14ac:dyDescent="0.45">
      <c r="B2" t="s">
        <v>8</v>
      </c>
      <c r="C2">
        <v>2015</v>
      </c>
    </row>
    <row r="3" spans="2:5" x14ac:dyDescent="0.45">
      <c r="B3" t="s">
        <v>0</v>
      </c>
      <c r="C3">
        <v>2016</v>
      </c>
    </row>
    <row r="4" spans="2:5" x14ac:dyDescent="0.45">
      <c r="B4" t="s">
        <v>1</v>
      </c>
      <c r="C4">
        <v>2029</v>
      </c>
    </row>
    <row r="6" spans="2:5" x14ac:dyDescent="0.45">
      <c r="B6" t="s">
        <v>3</v>
      </c>
      <c r="C6" t="s">
        <v>32</v>
      </c>
    </row>
    <row r="8" spans="2:5" x14ac:dyDescent="0.45">
      <c r="B8" t="s">
        <v>10</v>
      </c>
      <c r="C8" s="5" t="s">
        <v>2</v>
      </c>
      <c r="D8" s="5" t="s">
        <v>5</v>
      </c>
      <c r="E8" s="5" t="s">
        <v>7</v>
      </c>
    </row>
    <row r="9" spans="2:5" x14ac:dyDescent="0.45">
      <c r="B9">
        <v>2016</v>
      </c>
      <c r="C9" s="4">
        <v>288243</v>
      </c>
      <c r="D9" s="4">
        <v>961643</v>
      </c>
      <c r="E9" s="4">
        <v>115334</v>
      </c>
    </row>
    <row r="10" spans="2:5" x14ac:dyDescent="0.45">
      <c r="B10">
        <v>2029</v>
      </c>
      <c r="C10" s="4">
        <v>461132</v>
      </c>
      <c r="D10" s="4">
        <v>1087660</v>
      </c>
      <c r="E10" s="4">
        <v>206937</v>
      </c>
    </row>
    <row r="11" spans="2:5" x14ac:dyDescent="0.45">
      <c r="C11" s="4"/>
      <c r="D11" s="4"/>
      <c r="E11" s="4"/>
    </row>
    <row r="12" spans="2:5" x14ac:dyDescent="0.45">
      <c r="B12" t="s">
        <v>11</v>
      </c>
      <c r="C12" s="4">
        <f>C10-C9</f>
        <v>172889</v>
      </c>
      <c r="D12" s="4">
        <f t="shared" ref="D12:E12" si="0">D10-D9</f>
        <v>126017</v>
      </c>
      <c r="E12" s="4">
        <f t="shared" si="0"/>
        <v>91603</v>
      </c>
    </row>
    <row r="13" spans="2:5" x14ac:dyDescent="0.45">
      <c r="B13" t="s">
        <v>6</v>
      </c>
      <c r="C13" s="2">
        <f>C12/SUM($C$12:$E$12)</f>
        <v>0.44272731230266138</v>
      </c>
      <c r="D13" s="2">
        <f t="shared" ref="D13:E13" si="1">D12/SUM($C$12:$E$12)</f>
        <v>0.32269934879861922</v>
      </c>
      <c r="E13" s="2">
        <f t="shared" si="1"/>
        <v>0.23457333889871937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26FB-41E8-4120-85C5-35EABB5E26A1}">
  <dimension ref="B1:E13"/>
  <sheetViews>
    <sheetView workbookViewId="0">
      <selection activeCell="C11" sqref="C11"/>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34</v>
      </c>
    </row>
    <row r="2" spans="2:5" x14ac:dyDescent="0.45">
      <c r="B2" t="s">
        <v>8</v>
      </c>
      <c r="C2">
        <v>2015</v>
      </c>
    </row>
    <row r="3" spans="2:5" x14ac:dyDescent="0.45">
      <c r="B3" t="s">
        <v>0</v>
      </c>
      <c r="C3">
        <v>2029</v>
      </c>
    </row>
    <row r="4" spans="2:5" x14ac:dyDescent="0.45">
      <c r="B4" t="s">
        <v>1</v>
      </c>
      <c r="C4">
        <v>2040</v>
      </c>
    </row>
    <row r="6" spans="2:5" x14ac:dyDescent="0.45">
      <c r="B6" t="s">
        <v>3</v>
      </c>
      <c r="C6" t="s">
        <v>35</v>
      </c>
    </row>
    <row r="8" spans="2:5" x14ac:dyDescent="0.45">
      <c r="B8" t="s">
        <v>10</v>
      </c>
      <c r="C8" s="5" t="s">
        <v>2</v>
      </c>
      <c r="D8" s="5" t="s">
        <v>5</v>
      </c>
      <c r="E8" s="5" t="s">
        <v>7</v>
      </c>
    </row>
    <row r="9" spans="2:5" x14ac:dyDescent="0.45">
      <c r="B9">
        <v>2029</v>
      </c>
      <c r="C9" s="4">
        <v>461132</v>
      </c>
      <c r="D9" s="4">
        <v>1087660</v>
      </c>
      <c r="E9" s="4">
        <v>206937</v>
      </c>
    </row>
    <row r="10" spans="2:5" x14ac:dyDescent="0.45">
      <c r="B10">
        <v>2040</v>
      </c>
      <c r="C10" s="4">
        <v>551007</v>
      </c>
      <c r="D10" s="4">
        <v>1214160</v>
      </c>
      <c r="E10" s="4">
        <v>276021</v>
      </c>
    </row>
    <row r="11" spans="2:5" x14ac:dyDescent="0.45">
      <c r="C11" s="4"/>
      <c r="D11" s="4"/>
      <c r="E11" s="4"/>
    </row>
    <row r="12" spans="2:5" x14ac:dyDescent="0.45">
      <c r="B12" t="s">
        <v>11</v>
      </c>
      <c r="C12" s="4">
        <f>C10-C9</f>
        <v>89875</v>
      </c>
      <c r="D12" s="4">
        <f t="shared" ref="D12:E12" si="0">D10-D9</f>
        <v>126500</v>
      </c>
      <c r="E12" s="4">
        <f t="shared" si="0"/>
        <v>69084</v>
      </c>
    </row>
    <row r="13" spans="2:5" x14ac:dyDescent="0.45">
      <c r="B13" t="s">
        <v>6</v>
      </c>
      <c r="C13" s="2">
        <f>C12/SUM($C$12:$E$12)</f>
        <v>0.31484381294686803</v>
      </c>
      <c r="D13" s="2">
        <f t="shared" ref="D13:E13" si="1">D12/SUM($C$12:$E$12)</f>
        <v>0.44314595090713554</v>
      </c>
      <c r="E13" s="2">
        <f t="shared" si="1"/>
        <v>0.24201023614599645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CE2F-14E4-49D7-A034-CA0E2897071E}">
  <dimension ref="B1:E32"/>
  <sheetViews>
    <sheetView tabSelected="1" zoomScaleNormal="100" workbookViewId="0">
      <selection activeCell="D22" sqref="D22"/>
    </sheetView>
  </sheetViews>
  <sheetFormatPr defaultRowHeight="14.25" x14ac:dyDescent="0.45"/>
  <cols>
    <col min="2" max="2" width="42.265625" customWidth="1"/>
    <col min="3" max="3" width="18.265625" customWidth="1"/>
    <col min="4" max="4" width="15.86328125" bestFit="1" customWidth="1"/>
    <col min="5" max="5" width="16.73046875" customWidth="1"/>
  </cols>
  <sheetData>
    <row r="1" spans="2:5" x14ac:dyDescent="0.45">
      <c r="B1" t="s">
        <v>12</v>
      </c>
      <c r="C1" t="s">
        <v>52</v>
      </c>
    </row>
    <row r="2" spans="2:5" x14ac:dyDescent="0.45">
      <c r="B2" t="s">
        <v>8</v>
      </c>
      <c r="C2">
        <v>2021</v>
      </c>
    </row>
    <row r="3" spans="2:5" x14ac:dyDescent="0.45">
      <c r="B3" t="s">
        <v>0</v>
      </c>
      <c r="C3">
        <v>2019</v>
      </c>
    </row>
    <row r="4" spans="2:5" x14ac:dyDescent="0.45">
      <c r="B4" t="s">
        <v>1</v>
      </c>
      <c r="C4">
        <v>2048</v>
      </c>
    </row>
    <row r="6" spans="2:5" x14ac:dyDescent="0.45">
      <c r="B6" t="s">
        <v>3</v>
      </c>
      <c r="C6" t="s">
        <v>53</v>
      </c>
    </row>
    <row r="8" spans="2:5" x14ac:dyDescent="0.45">
      <c r="B8" t="s">
        <v>10</v>
      </c>
      <c r="C8" s="5" t="s">
        <v>2</v>
      </c>
      <c r="D8" s="5" t="s">
        <v>5</v>
      </c>
      <c r="E8" s="5"/>
    </row>
    <row r="9" spans="2:5" x14ac:dyDescent="0.45">
      <c r="B9">
        <v>2019</v>
      </c>
      <c r="C9" s="10" t="s">
        <v>54</v>
      </c>
      <c r="D9" s="10"/>
      <c r="E9" s="5"/>
    </row>
    <row r="10" spans="2:5" x14ac:dyDescent="0.45">
      <c r="B10">
        <v>2048</v>
      </c>
      <c r="C10" s="10" t="s">
        <v>55</v>
      </c>
      <c r="D10" s="10"/>
      <c r="E10" s="4"/>
    </row>
    <row r="11" spans="2:5" x14ac:dyDescent="0.45">
      <c r="C11" s="4"/>
      <c r="D11" s="4"/>
      <c r="E11" s="4"/>
    </row>
    <row r="12" spans="2:5" x14ac:dyDescent="0.45">
      <c r="B12" t="s">
        <v>11</v>
      </c>
      <c r="C12" s="4">
        <v>115315</v>
      </c>
      <c r="D12" s="4">
        <v>143368</v>
      </c>
      <c r="E12" s="4"/>
    </row>
    <row r="13" spans="2:5" x14ac:dyDescent="0.45">
      <c r="C13" s="2"/>
      <c r="D13" s="2"/>
      <c r="E13" s="2"/>
    </row>
    <row r="14" spans="2:5" x14ac:dyDescent="0.45">
      <c r="C14" s="5" t="s">
        <v>2</v>
      </c>
      <c r="D14" s="5" t="s">
        <v>5</v>
      </c>
      <c r="E14" s="5" t="s">
        <v>7</v>
      </c>
    </row>
    <row r="15" spans="2:5" x14ac:dyDescent="0.45">
      <c r="B15" t="s">
        <v>45</v>
      </c>
      <c r="C15" s="6">
        <f>C12*585/1000000</f>
        <v>67.459275000000005</v>
      </c>
      <c r="D15" s="6">
        <f>D12*585/1000000</f>
        <v>83.870279999999994</v>
      </c>
    </row>
    <row r="16" spans="2:5" x14ac:dyDescent="0.45">
      <c r="B16" t="s">
        <v>46</v>
      </c>
      <c r="E16">
        <v>50</v>
      </c>
    </row>
    <row r="18" spans="2:5" x14ac:dyDescent="0.45">
      <c r="B18" t="s">
        <v>56</v>
      </c>
      <c r="C18" s="6"/>
    </row>
    <row r="21" spans="2:5" x14ac:dyDescent="0.45">
      <c r="C21" t="s">
        <v>2</v>
      </c>
      <c r="D21" t="s">
        <v>5</v>
      </c>
      <c r="E21" t="s">
        <v>7</v>
      </c>
    </row>
    <row r="22" spans="2:5" x14ac:dyDescent="0.45">
      <c r="B22" t="s">
        <v>6</v>
      </c>
      <c r="C22" s="2">
        <f>(1-E22)*C12/(C12+D12)</f>
        <v>0.33433294804838354</v>
      </c>
      <c r="D22" s="2">
        <f>(1-E22)*D12/(C12+D12)</f>
        <v>0.41566705195161646</v>
      </c>
      <c r="E22" s="2">
        <f>E16/(150+E16)</f>
        <v>0.25</v>
      </c>
    </row>
    <row r="26" spans="2:5" x14ac:dyDescent="0.45">
      <c r="C26" s="9"/>
    </row>
    <row r="31" spans="2:5" x14ac:dyDescent="0.45">
      <c r="C31" s="3"/>
    </row>
    <row r="32" spans="2:5" x14ac:dyDescent="0.45">
      <c r="C32" s="1"/>
    </row>
  </sheetData>
  <mergeCells count="2">
    <mergeCell ref="C9:D9"/>
    <mergeCell ref="C10:D10"/>
  </mergeCell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8BEB-6F4B-4C04-B275-77C392736182}">
  <dimension ref="B1:G14"/>
  <sheetViews>
    <sheetView workbookViewId="0">
      <selection activeCell="N22" sqref="N22"/>
    </sheetView>
  </sheetViews>
  <sheetFormatPr defaultRowHeight="14.25" x14ac:dyDescent="0.45"/>
  <cols>
    <col min="2" max="2" width="35.86328125" bestFit="1" customWidth="1"/>
    <col min="3" max="3" width="23.265625" bestFit="1" customWidth="1"/>
    <col min="4" max="4" width="15.86328125" bestFit="1" customWidth="1"/>
    <col min="5" max="5" width="14.265625" customWidth="1"/>
  </cols>
  <sheetData>
    <row r="1" spans="2:7" x14ac:dyDescent="0.45">
      <c r="B1" t="s">
        <v>12</v>
      </c>
      <c r="C1" t="s">
        <v>36</v>
      </c>
    </row>
    <row r="2" spans="2:7" x14ac:dyDescent="0.45">
      <c r="B2" t="s">
        <v>8</v>
      </c>
      <c r="C2">
        <v>2015</v>
      </c>
    </row>
    <row r="3" spans="2:7" x14ac:dyDescent="0.45">
      <c r="B3" t="s">
        <v>0</v>
      </c>
      <c r="C3">
        <v>2025</v>
      </c>
    </row>
    <row r="4" spans="2:7" x14ac:dyDescent="0.45">
      <c r="B4" t="s">
        <v>1</v>
      </c>
      <c r="C4">
        <v>2033</v>
      </c>
    </row>
    <row r="6" spans="2:7" x14ac:dyDescent="0.45">
      <c r="B6" t="s">
        <v>3</v>
      </c>
      <c r="C6" t="s">
        <v>37</v>
      </c>
    </row>
    <row r="8" spans="2:7" x14ac:dyDescent="0.45">
      <c r="B8" t="s">
        <v>10</v>
      </c>
      <c r="C8" s="5" t="s">
        <v>2</v>
      </c>
      <c r="D8" s="5" t="s">
        <v>5</v>
      </c>
      <c r="E8" s="5" t="s">
        <v>7</v>
      </c>
    </row>
    <row r="9" spans="2:7" x14ac:dyDescent="0.45">
      <c r="B9">
        <v>2025</v>
      </c>
      <c r="C9" s="4">
        <v>533616</v>
      </c>
      <c r="D9" s="4">
        <v>961888</v>
      </c>
      <c r="E9" s="4"/>
    </row>
    <row r="10" spans="2:7" x14ac:dyDescent="0.45">
      <c r="B10">
        <v>2033</v>
      </c>
      <c r="C10" s="4">
        <v>635551</v>
      </c>
      <c r="D10" s="4">
        <v>1042503</v>
      </c>
      <c r="E10" s="4"/>
    </row>
    <row r="11" spans="2:7" x14ac:dyDescent="0.45">
      <c r="C11" s="4"/>
      <c r="D11" s="4"/>
      <c r="E11" s="4"/>
    </row>
    <row r="12" spans="2:7" x14ac:dyDescent="0.45">
      <c r="B12" t="s">
        <v>11</v>
      </c>
      <c r="C12" s="4">
        <f>C10-C9</f>
        <v>101935</v>
      </c>
      <c r="D12" s="4">
        <f t="shared" ref="D12" si="0">D10-D9</f>
        <v>80615</v>
      </c>
      <c r="E12" s="4"/>
    </row>
    <row r="13" spans="2:7" x14ac:dyDescent="0.45">
      <c r="B13" t="s">
        <v>38</v>
      </c>
      <c r="C13" s="8">
        <f>C12*650/1000000</f>
        <v>66.257750000000001</v>
      </c>
      <c r="D13" s="8">
        <f>D12*650/1000000</f>
        <v>52.399749999999997</v>
      </c>
      <c r="E13" s="8">
        <v>29.21</v>
      </c>
      <c r="G13" s="7"/>
    </row>
    <row r="14" spans="2:7" x14ac:dyDescent="0.45">
      <c r="B14" t="s">
        <v>6</v>
      </c>
      <c r="C14" s="2">
        <f>C13/SUM($C$13:$E$13)</f>
        <v>0.44808866045615159</v>
      </c>
      <c r="D14" s="2">
        <f>D13/SUM($C$13:$E$13)</f>
        <v>0.35436962145163742</v>
      </c>
      <c r="E14" s="2">
        <f>E13/SUM($C$13:$E$13)</f>
        <v>0.19754171809221094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CAA6-54CB-4BAB-AFE0-57205FBD68FD}">
  <dimension ref="B1:G14"/>
  <sheetViews>
    <sheetView workbookViewId="0">
      <selection activeCell="I12" sqref="I12"/>
    </sheetView>
  </sheetViews>
  <sheetFormatPr defaultRowHeight="14.25" x14ac:dyDescent="0.45"/>
  <cols>
    <col min="2" max="2" width="35.86328125" bestFit="1" customWidth="1"/>
    <col min="3" max="3" width="23.265625" bestFit="1" customWidth="1"/>
    <col min="4" max="4" width="15.86328125" bestFit="1" customWidth="1"/>
    <col min="5" max="5" width="14.265625" customWidth="1"/>
  </cols>
  <sheetData>
    <row r="1" spans="2:7" x14ac:dyDescent="0.45">
      <c r="B1" t="s">
        <v>12</v>
      </c>
      <c r="C1" t="s">
        <v>39</v>
      </c>
    </row>
    <row r="2" spans="2:7" x14ac:dyDescent="0.45">
      <c r="B2" t="s">
        <v>8</v>
      </c>
      <c r="C2">
        <v>2015</v>
      </c>
    </row>
    <row r="3" spans="2:7" x14ac:dyDescent="0.45">
      <c r="B3" t="s">
        <v>0</v>
      </c>
      <c r="C3">
        <v>2018</v>
      </c>
    </row>
    <row r="4" spans="2:7" x14ac:dyDescent="0.45">
      <c r="B4" t="s">
        <v>1</v>
      </c>
      <c r="C4">
        <v>2025</v>
      </c>
    </row>
    <row r="6" spans="2:7" x14ac:dyDescent="0.45">
      <c r="B6" t="s">
        <v>3</v>
      </c>
      <c r="C6" t="s">
        <v>40</v>
      </c>
    </row>
    <row r="8" spans="2:7" x14ac:dyDescent="0.45">
      <c r="B8" t="s">
        <v>10</v>
      </c>
      <c r="C8" s="5" t="s">
        <v>2</v>
      </c>
      <c r="D8" s="5" t="s">
        <v>5</v>
      </c>
      <c r="E8" s="5" t="s">
        <v>7</v>
      </c>
    </row>
    <row r="9" spans="2:7" x14ac:dyDescent="0.45">
      <c r="B9">
        <v>2018</v>
      </c>
      <c r="C9" s="4">
        <v>406688</v>
      </c>
      <c r="D9" s="4">
        <v>909174</v>
      </c>
      <c r="E9" s="4"/>
    </row>
    <row r="10" spans="2:7" x14ac:dyDescent="0.45">
      <c r="B10">
        <v>2025</v>
      </c>
      <c r="C10" s="4">
        <v>533616</v>
      </c>
      <c r="D10" s="4">
        <v>961888</v>
      </c>
      <c r="E10" s="4"/>
    </row>
    <row r="11" spans="2:7" x14ac:dyDescent="0.45">
      <c r="C11" s="4"/>
      <c r="D11" s="4"/>
      <c r="E11" s="4"/>
    </row>
    <row r="12" spans="2:7" x14ac:dyDescent="0.45">
      <c r="B12" t="s">
        <v>11</v>
      </c>
      <c r="C12" s="4">
        <f>C10-C9</f>
        <v>126928</v>
      </c>
      <c r="D12" s="4">
        <f t="shared" ref="D12" si="0">D10-D9</f>
        <v>52714</v>
      </c>
      <c r="E12" s="4"/>
    </row>
    <row r="13" spans="2:7" x14ac:dyDescent="0.45">
      <c r="B13" t="s">
        <v>38</v>
      </c>
      <c r="C13" s="7">
        <f>C12*650/1000000</f>
        <v>82.503200000000007</v>
      </c>
      <c r="D13" s="7">
        <f>D12*650/1000000</f>
        <v>34.264099999999999</v>
      </c>
      <c r="E13">
        <v>29.2</v>
      </c>
      <c r="G13" s="7"/>
    </row>
    <row r="14" spans="2:7" x14ac:dyDescent="0.45">
      <c r="B14" t="s">
        <v>6</v>
      </c>
      <c r="C14" s="2">
        <f>C13/SUM($C$13:$E$13)</f>
        <v>0.56521700408242126</v>
      </c>
      <c r="D14" s="2">
        <f>D13/SUM($C$13:$E$13)</f>
        <v>0.23473819136203794</v>
      </c>
      <c r="E14" s="2">
        <f>E13/SUM($C$13:$E$13)</f>
        <v>0.20004480455554086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DD0F1-099C-4586-B5A6-75C9A4BE9C81}">
  <dimension ref="B1:E32"/>
  <sheetViews>
    <sheetView zoomScaleNormal="100" workbookViewId="0">
      <selection activeCell="C18" sqref="C18"/>
    </sheetView>
  </sheetViews>
  <sheetFormatPr defaultRowHeight="14.25" x14ac:dyDescent="0.45"/>
  <cols>
    <col min="2" max="2" width="27.3984375" customWidth="1"/>
    <col min="3" max="3" width="18.265625" customWidth="1"/>
    <col min="4" max="4" width="15.86328125" bestFit="1" customWidth="1"/>
    <col min="5" max="5" width="16.73046875" customWidth="1"/>
  </cols>
  <sheetData>
    <row r="1" spans="2:5" x14ac:dyDescent="0.45">
      <c r="B1" t="s">
        <v>12</v>
      </c>
      <c r="C1" t="s">
        <v>47</v>
      </c>
    </row>
    <row r="2" spans="2:5" x14ac:dyDescent="0.45">
      <c r="B2" t="s">
        <v>8</v>
      </c>
      <c r="C2">
        <v>2023</v>
      </c>
    </row>
    <row r="3" spans="2:5" x14ac:dyDescent="0.45">
      <c r="B3" t="s">
        <v>0</v>
      </c>
      <c r="C3">
        <v>2026</v>
      </c>
    </row>
    <row r="4" spans="2:5" x14ac:dyDescent="0.45">
      <c r="B4" t="s">
        <v>1</v>
      </c>
      <c r="C4">
        <v>2048</v>
      </c>
    </row>
    <row r="6" spans="2:5" x14ac:dyDescent="0.45">
      <c r="B6" t="s">
        <v>3</v>
      </c>
      <c r="C6" t="s">
        <v>4</v>
      </c>
    </row>
    <row r="8" spans="2:5" x14ac:dyDescent="0.45">
      <c r="B8" t="s">
        <v>10</v>
      </c>
      <c r="C8" s="5" t="s">
        <v>2</v>
      </c>
      <c r="D8" s="5" t="s">
        <v>5</v>
      </c>
      <c r="E8" s="5" t="s">
        <v>7</v>
      </c>
    </row>
    <row r="9" spans="2:5" x14ac:dyDescent="0.45">
      <c r="B9">
        <v>2026</v>
      </c>
      <c r="C9" s="4">
        <v>338</v>
      </c>
      <c r="D9" s="4">
        <v>64120</v>
      </c>
      <c r="E9" s="4">
        <v>0</v>
      </c>
    </row>
    <row r="10" spans="2:5" x14ac:dyDescent="0.45">
      <c r="B10">
        <v>2048</v>
      </c>
      <c r="C10" s="4">
        <v>2640</v>
      </c>
      <c r="D10" s="4">
        <v>67174</v>
      </c>
      <c r="E10" s="4">
        <v>0</v>
      </c>
    </row>
    <row r="11" spans="2:5" x14ac:dyDescent="0.45">
      <c r="C11" s="4"/>
      <c r="D11" s="4"/>
      <c r="E11" s="4"/>
    </row>
    <row r="12" spans="2:5" x14ac:dyDescent="0.45">
      <c r="B12" t="s">
        <v>11</v>
      </c>
      <c r="C12" s="4">
        <f>C10-C9</f>
        <v>2302</v>
      </c>
      <c r="D12" s="4">
        <f t="shared" ref="D12:E12" si="0">D10-D9</f>
        <v>3054</v>
      </c>
      <c r="E12" s="4">
        <f t="shared" si="0"/>
        <v>0</v>
      </c>
    </row>
    <row r="13" spans="2:5" x14ac:dyDescent="0.45">
      <c r="B13" t="s">
        <v>6</v>
      </c>
      <c r="C13" s="2">
        <f>C12/SUM($C$12:$E$12)</f>
        <v>0.42979835698282298</v>
      </c>
      <c r="D13" s="2">
        <f t="shared" ref="D13:E13" si="1">D12/SUM($C$12:$E$12)</f>
        <v>0.57020164301717702</v>
      </c>
      <c r="E13" s="2">
        <f t="shared" si="1"/>
        <v>0</v>
      </c>
    </row>
    <row r="31" spans="3:3" x14ac:dyDescent="0.45">
      <c r="C31" s="3"/>
    </row>
    <row r="32" spans="3:3" x14ac:dyDescent="0.45">
      <c r="C3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3273-9536-41CD-B6CB-37C10157AE0C}">
  <dimension ref="B1:E13"/>
  <sheetViews>
    <sheetView zoomScaleNormal="100" workbookViewId="0">
      <selection activeCell="C2" sqref="C2"/>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57</v>
      </c>
    </row>
    <row r="2" spans="2:5" x14ac:dyDescent="0.45">
      <c r="B2" t="s">
        <v>8</v>
      </c>
      <c r="C2">
        <v>2022</v>
      </c>
    </row>
    <row r="3" spans="2:5" x14ac:dyDescent="0.45">
      <c r="B3" t="s">
        <v>0</v>
      </c>
      <c r="C3">
        <v>2024</v>
      </c>
    </row>
    <row r="4" spans="2:5" x14ac:dyDescent="0.45">
      <c r="B4" t="s">
        <v>1</v>
      </c>
      <c r="C4">
        <v>2076</v>
      </c>
    </row>
    <row r="6" spans="2:5" x14ac:dyDescent="0.45">
      <c r="B6" t="s">
        <v>3</v>
      </c>
      <c r="C6" t="s">
        <v>26</v>
      </c>
    </row>
    <row r="8" spans="2:5" x14ac:dyDescent="0.45">
      <c r="B8" t="s">
        <v>10</v>
      </c>
      <c r="C8" s="5" t="s">
        <v>2</v>
      </c>
      <c r="D8" s="5" t="s">
        <v>5</v>
      </c>
      <c r="E8" s="5" t="s">
        <v>7</v>
      </c>
    </row>
    <row r="9" spans="2:5" x14ac:dyDescent="0.45">
      <c r="B9">
        <v>2024</v>
      </c>
      <c r="C9" s="4">
        <v>44598</v>
      </c>
      <c r="D9" s="4">
        <v>0</v>
      </c>
      <c r="E9" s="4">
        <v>36874</v>
      </c>
    </row>
    <row r="10" spans="2:5" x14ac:dyDescent="0.45">
      <c r="B10">
        <v>2076</v>
      </c>
      <c r="C10" s="4">
        <v>65373</v>
      </c>
      <c r="D10" s="4">
        <v>0</v>
      </c>
      <c r="E10" s="4">
        <v>73474</v>
      </c>
    </row>
    <row r="11" spans="2:5" x14ac:dyDescent="0.45">
      <c r="C11" s="4"/>
      <c r="D11" s="4"/>
      <c r="E11" s="4"/>
    </row>
    <row r="12" spans="2:5" x14ac:dyDescent="0.45">
      <c r="B12" t="s">
        <v>11</v>
      </c>
      <c r="C12" s="4">
        <f>C10-C9</f>
        <v>20775</v>
      </c>
      <c r="D12" s="4">
        <f t="shared" ref="D12:E12" si="0">D10-D9</f>
        <v>0</v>
      </c>
      <c r="E12" s="4">
        <f t="shared" si="0"/>
        <v>36600</v>
      </c>
    </row>
    <row r="13" spans="2:5" x14ac:dyDescent="0.45">
      <c r="B13" t="s">
        <v>6</v>
      </c>
      <c r="C13" s="2">
        <f>C12/SUM($C$12:$E$12)</f>
        <v>0.36209150326797385</v>
      </c>
      <c r="D13" s="2">
        <f t="shared" ref="D13:E13" si="1">D12/SUM($C$12:$E$12)</f>
        <v>0</v>
      </c>
      <c r="E13" s="2">
        <f t="shared" si="1"/>
        <v>0.6379084967320261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B0378-AD60-4045-A5E2-CAF4DDB3061D}">
  <dimension ref="B1:E32"/>
  <sheetViews>
    <sheetView workbookViewId="0">
      <selection activeCell="E16" sqref="E16"/>
    </sheetView>
  </sheetViews>
  <sheetFormatPr defaultRowHeight="14.25" x14ac:dyDescent="0.45"/>
  <cols>
    <col min="2" max="2" width="42.265625" customWidth="1"/>
    <col min="3" max="3" width="18.265625" customWidth="1"/>
    <col min="4" max="4" width="15.86328125" bestFit="1" customWidth="1"/>
    <col min="5" max="5" width="16.73046875" customWidth="1"/>
  </cols>
  <sheetData>
    <row r="1" spans="2:5" x14ac:dyDescent="0.45">
      <c r="B1" t="s">
        <v>12</v>
      </c>
      <c r="C1" t="s">
        <v>41</v>
      </c>
    </row>
    <row r="2" spans="2:5" x14ac:dyDescent="0.45">
      <c r="B2" t="s">
        <v>8</v>
      </c>
      <c r="C2">
        <v>2023</v>
      </c>
    </row>
    <row r="3" spans="2:5" x14ac:dyDescent="0.45">
      <c r="B3" t="s">
        <v>0</v>
      </c>
      <c r="C3">
        <v>2035</v>
      </c>
    </row>
    <row r="4" spans="2:5" x14ac:dyDescent="0.45">
      <c r="B4" t="s">
        <v>1</v>
      </c>
      <c r="C4">
        <v>2048</v>
      </c>
    </row>
    <row r="6" spans="2:5" x14ac:dyDescent="0.45">
      <c r="B6" t="s">
        <v>3</v>
      </c>
      <c r="C6" t="s">
        <v>42</v>
      </c>
    </row>
    <row r="8" spans="2:5" x14ac:dyDescent="0.45">
      <c r="B8" t="s">
        <v>10</v>
      </c>
      <c r="C8" s="5" t="s">
        <v>2</v>
      </c>
      <c r="D8" s="5" t="s">
        <v>5</v>
      </c>
      <c r="E8" s="5"/>
    </row>
    <row r="9" spans="2:5" x14ac:dyDescent="0.45">
      <c r="B9">
        <v>2035</v>
      </c>
      <c r="C9" s="10" t="s">
        <v>43</v>
      </c>
      <c r="D9" s="10"/>
      <c r="E9" s="5"/>
    </row>
    <row r="10" spans="2:5" x14ac:dyDescent="0.45">
      <c r="B10">
        <v>2048</v>
      </c>
      <c r="C10" s="10" t="s">
        <v>44</v>
      </c>
      <c r="D10" s="10"/>
      <c r="E10" s="4"/>
    </row>
    <row r="11" spans="2:5" x14ac:dyDescent="0.45">
      <c r="C11" s="4"/>
      <c r="D11" s="4"/>
      <c r="E11" s="4"/>
    </row>
    <row r="12" spans="2:5" x14ac:dyDescent="0.45">
      <c r="B12" t="s">
        <v>11</v>
      </c>
      <c r="C12" s="4">
        <v>249429</v>
      </c>
      <c r="D12" s="4">
        <v>127187</v>
      </c>
      <c r="E12" s="4"/>
    </row>
    <row r="13" spans="2:5" x14ac:dyDescent="0.45">
      <c r="C13" s="2"/>
      <c r="D13" s="2"/>
      <c r="E13" s="2"/>
    </row>
    <row r="14" spans="2:5" x14ac:dyDescent="0.45">
      <c r="C14" s="5" t="s">
        <v>2</v>
      </c>
      <c r="D14" s="5" t="s">
        <v>5</v>
      </c>
      <c r="E14" t="s">
        <v>7</v>
      </c>
    </row>
    <row r="15" spans="2:5" x14ac:dyDescent="0.45">
      <c r="B15" t="s">
        <v>45</v>
      </c>
      <c r="C15" s="6">
        <f>C12*527/1000000</f>
        <v>131.449083</v>
      </c>
      <c r="D15" s="6">
        <f>D12*527/1000000</f>
        <v>67.027548999999993</v>
      </c>
    </row>
    <row r="16" spans="2:5" x14ac:dyDescent="0.45">
      <c r="B16" t="s">
        <v>46</v>
      </c>
      <c r="E16">
        <v>24.3</v>
      </c>
    </row>
    <row r="18" spans="2:5" x14ac:dyDescent="0.45">
      <c r="C18" s="6"/>
    </row>
    <row r="21" spans="2:5" x14ac:dyDescent="0.45">
      <c r="C21" t="s">
        <v>2</v>
      </c>
      <c r="D21" t="s">
        <v>5</v>
      </c>
      <c r="E21" t="s">
        <v>7</v>
      </c>
    </row>
    <row r="22" spans="2:5" x14ac:dyDescent="0.45">
      <c r="B22" t="s">
        <v>6</v>
      </c>
      <c r="C22" s="2">
        <f>C15/SUM(C15:E16)</f>
        <v>0.59004879380706321</v>
      </c>
      <c r="D22" s="2">
        <f>D15/SUM(C15:E16)</f>
        <v>0.30087333845679104</v>
      </c>
      <c r="E22" s="2">
        <f>E16/SUM(C15:E16)</f>
        <v>0.10907786773614568</v>
      </c>
    </row>
    <row r="31" spans="2:5" x14ac:dyDescent="0.45">
      <c r="C31" s="3"/>
    </row>
    <row r="32" spans="2:5" x14ac:dyDescent="0.45">
      <c r="C32" s="1"/>
    </row>
  </sheetData>
  <mergeCells count="2">
    <mergeCell ref="C10:D10"/>
    <mergeCell ref="C9:D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DEF-1E6A-4477-BF58-6C4D1C932246}">
  <dimension ref="B1:E31"/>
  <sheetViews>
    <sheetView workbookViewId="0">
      <selection activeCell="C2" sqref="C2"/>
    </sheetView>
  </sheetViews>
  <sheetFormatPr defaultRowHeight="14.25" x14ac:dyDescent="0.45"/>
  <cols>
    <col min="2" max="2" width="27.3984375" customWidth="1"/>
    <col min="3" max="3" width="18.265625" customWidth="1"/>
    <col min="4" max="4" width="15.86328125" bestFit="1" customWidth="1"/>
    <col min="5" max="5" width="16.73046875" customWidth="1"/>
  </cols>
  <sheetData>
    <row r="1" spans="2:5" x14ac:dyDescent="0.45">
      <c r="B1" t="s">
        <v>12</v>
      </c>
      <c r="C1" t="s">
        <v>51</v>
      </c>
    </row>
    <row r="2" spans="2:5" x14ac:dyDescent="0.45">
      <c r="B2" t="s">
        <v>8</v>
      </c>
      <c r="C2">
        <v>2023</v>
      </c>
    </row>
    <row r="3" spans="2:5" x14ac:dyDescent="0.45">
      <c r="B3" t="s">
        <v>0</v>
      </c>
      <c r="C3" s="5" t="s">
        <v>48</v>
      </c>
    </row>
    <row r="4" spans="2:5" x14ac:dyDescent="0.45">
      <c r="B4" t="s">
        <v>1</v>
      </c>
      <c r="C4" s="5" t="s">
        <v>48</v>
      </c>
    </row>
    <row r="6" spans="2:5" x14ac:dyDescent="0.45">
      <c r="B6" t="s">
        <v>3</v>
      </c>
      <c r="C6" t="s">
        <v>49</v>
      </c>
    </row>
    <row r="8" spans="2:5" x14ac:dyDescent="0.45">
      <c r="B8" t="s">
        <v>50</v>
      </c>
      <c r="C8" s="5" t="s">
        <v>2</v>
      </c>
      <c r="D8" s="5" t="s">
        <v>5</v>
      </c>
      <c r="E8" s="5" t="s">
        <v>7</v>
      </c>
    </row>
    <row r="9" spans="2:5" x14ac:dyDescent="0.45">
      <c r="C9" s="4">
        <v>2044</v>
      </c>
      <c r="D9" s="4">
        <v>3082</v>
      </c>
      <c r="E9" s="4">
        <v>0</v>
      </c>
    </row>
    <row r="10" spans="2:5" x14ac:dyDescent="0.45">
      <c r="C10" s="4"/>
      <c r="D10" s="4"/>
      <c r="E10" s="4"/>
    </row>
    <row r="11" spans="2:5" x14ac:dyDescent="0.45">
      <c r="C11" s="4"/>
      <c r="D11" s="4"/>
      <c r="E11" s="4"/>
    </row>
    <row r="12" spans="2:5" x14ac:dyDescent="0.45">
      <c r="B12" t="s">
        <v>6</v>
      </c>
      <c r="C12" s="3">
        <f>C9/SUM(C9:E9)</f>
        <v>0.39875146312914556</v>
      </c>
      <c r="D12" s="3">
        <f>D9/SUM(C9:E9)</f>
        <v>0.60124853687085444</v>
      </c>
      <c r="E12" s="3">
        <v>0</v>
      </c>
    </row>
    <row r="30" spans="3:3" x14ac:dyDescent="0.45">
      <c r="C30" s="3"/>
    </row>
    <row r="31" spans="3:3" x14ac:dyDescent="0.45">
      <c r="C31"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6FFC-EF06-4BD1-963E-2056F44EA358}">
  <dimension ref="B1:E32"/>
  <sheetViews>
    <sheetView zoomScaleNormal="100" workbookViewId="0">
      <selection activeCell="E12" sqref="E12"/>
    </sheetView>
  </sheetViews>
  <sheetFormatPr defaultRowHeight="14.25" x14ac:dyDescent="0.45"/>
  <cols>
    <col min="2" max="2" width="27.3984375" customWidth="1"/>
    <col min="3" max="3" width="18.265625" customWidth="1"/>
    <col min="4" max="4" width="15.86328125" bestFit="1" customWidth="1"/>
    <col min="5" max="5" width="16.73046875" customWidth="1"/>
  </cols>
  <sheetData>
    <row r="1" spans="2:5" x14ac:dyDescent="0.45">
      <c r="B1" t="s">
        <v>12</v>
      </c>
      <c r="C1" t="s">
        <v>13</v>
      </c>
    </row>
    <row r="2" spans="2:5" x14ac:dyDescent="0.45">
      <c r="B2" t="s">
        <v>8</v>
      </c>
      <c r="C2">
        <v>2015</v>
      </c>
    </row>
    <row r="3" spans="2:5" x14ac:dyDescent="0.45">
      <c r="B3" t="s">
        <v>0</v>
      </c>
      <c r="C3">
        <v>2018</v>
      </c>
    </row>
    <row r="4" spans="2:5" x14ac:dyDescent="0.45">
      <c r="B4" t="s">
        <v>1</v>
      </c>
      <c r="C4">
        <v>2041</v>
      </c>
    </row>
    <row r="6" spans="2:5" x14ac:dyDescent="0.45">
      <c r="B6" t="s">
        <v>3</v>
      </c>
      <c r="C6" t="s">
        <v>9</v>
      </c>
    </row>
    <row r="8" spans="2:5" x14ac:dyDescent="0.45">
      <c r="B8" t="s">
        <v>10</v>
      </c>
      <c r="C8" s="5" t="s">
        <v>2</v>
      </c>
      <c r="D8" s="5" t="s">
        <v>5</v>
      </c>
      <c r="E8" s="5" t="s">
        <v>7</v>
      </c>
    </row>
    <row r="9" spans="2:5" x14ac:dyDescent="0.45">
      <c r="B9">
        <v>2018</v>
      </c>
      <c r="C9" s="4">
        <v>32352</v>
      </c>
      <c r="D9" s="4">
        <v>728457</v>
      </c>
      <c r="E9" s="4">
        <v>37675</v>
      </c>
    </row>
    <row r="10" spans="2:5" x14ac:dyDescent="0.45">
      <c r="B10">
        <v>2041</v>
      </c>
      <c r="C10" s="4">
        <v>138903</v>
      </c>
      <c r="D10" s="4">
        <v>938350</v>
      </c>
      <c r="E10" s="4">
        <v>102730</v>
      </c>
    </row>
    <row r="11" spans="2:5" x14ac:dyDescent="0.45">
      <c r="C11" s="4"/>
      <c r="D11" s="4"/>
      <c r="E11" s="4"/>
    </row>
    <row r="12" spans="2:5" x14ac:dyDescent="0.45">
      <c r="B12" t="s">
        <v>11</v>
      </c>
      <c r="C12" s="4">
        <f>C10-C9</f>
        <v>106551</v>
      </c>
      <c r="D12" s="4">
        <f t="shared" ref="D12:E12" si="0">D10-D9</f>
        <v>209893</v>
      </c>
      <c r="E12" s="4">
        <f t="shared" si="0"/>
        <v>65055</v>
      </c>
    </row>
    <row r="13" spans="2:5" x14ac:dyDescent="0.45">
      <c r="B13" t="s">
        <v>6</v>
      </c>
      <c r="C13" s="2">
        <f>C12/SUM($C$12:$E$12)</f>
        <v>0.27929562069625347</v>
      </c>
      <c r="D13" s="2">
        <f t="shared" ref="D13:E13" si="1">D12/SUM($C$12:$E$12)</f>
        <v>0.55017968592316102</v>
      </c>
      <c r="E13" s="2">
        <f t="shared" si="1"/>
        <v>0.17052469338058554</v>
      </c>
    </row>
    <row r="31" spans="3:3" x14ac:dyDescent="0.45">
      <c r="C31" s="3"/>
    </row>
    <row r="32" spans="3:3" x14ac:dyDescent="0.45">
      <c r="C32"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9385-2395-4FB0-BB46-1DBE6DE73894}">
  <dimension ref="B1:E13"/>
  <sheetViews>
    <sheetView workbookViewId="0">
      <selection activeCell="C3" sqref="C3"/>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14</v>
      </c>
    </row>
    <row r="2" spans="2:5" x14ac:dyDescent="0.45">
      <c r="B2" t="s">
        <v>8</v>
      </c>
      <c r="C2">
        <v>2015</v>
      </c>
    </row>
    <row r="3" spans="2:5" x14ac:dyDescent="0.45">
      <c r="B3" t="s">
        <v>0</v>
      </c>
      <c r="C3">
        <v>2016</v>
      </c>
    </row>
    <row r="4" spans="2:5" x14ac:dyDescent="0.45">
      <c r="B4" t="s">
        <v>1</v>
      </c>
      <c r="C4">
        <v>2039</v>
      </c>
    </row>
    <row r="6" spans="2:5" x14ac:dyDescent="0.45">
      <c r="B6" t="s">
        <v>3</v>
      </c>
      <c r="C6" t="s">
        <v>15</v>
      </c>
    </row>
    <row r="8" spans="2:5" x14ac:dyDescent="0.45">
      <c r="B8" t="s">
        <v>10</v>
      </c>
      <c r="C8" s="5" t="s">
        <v>2</v>
      </c>
      <c r="D8" s="5" t="s">
        <v>5</v>
      </c>
      <c r="E8" s="5" t="s">
        <v>7</v>
      </c>
    </row>
    <row r="9" spans="2:5" x14ac:dyDescent="0.45">
      <c r="B9">
        <v>2016</v>
      </c>
      <c r="C9" s="4">
        <v>210</v>
      </c>
      <c r="D9" s="4">
        <v>71211</v>
      </c>
      <c r="E9" s="4">
        <v>1805</v>
      </c>
    </row>
    <row r="10" spans="2:5" x14ac:dyDescent="0.45">
      <c r="B10">
        <v>2039</v>
      </c>
      <c r="C10" s="4">
        <v>29408</v>
      </c>
      <c r="D10" s="4">
        <v>77666</v>
      </c>
      <c r="E10" s="4">
        <v>7238</v>
      </c>
    </row>
    <row r="11" spans="2:5" x14ac:dyDescent="0.45">
      <c r="C11" s="4"/>
      <c r="D11" s="4"/>
      <c r="E11" s="4"/>
    </row>
    <row r="12" spans="2:5" x14ac:dyDescent="0.45">
      <c r="B12" t="s">
        <v>11</v>
      </c>
      <c r="C12" s="4">
        <f>C10-C9</f>
        <v>29198</v>
      </c>
      <c r="D12" s="4">
        <f t="shared" ref="D12:E12" si="0">D10-D9</f>
        <v>6455</v>
      </c>
      <c r="E12" s="4">
        <f t="shared" si="0"/>
        <v>5433</v>
      </c>
    </row>
    <row r="13" spans="2:5" x14ac:dyDescent="0.45">
      <c r="B13" t="s">
        <v>6</v>
      </c>
      <c r="C13" s="2">
        <f>C12/SUM($C$12:$E$12)</f>
        <v>0.71065569780460502</v>
      </c>
      <c r="D13" s="2">
        <f t="shared" ref="D13:E13" si="1">D12/SUM($C$12:$E$12)</f>
        <v>0.1571094776809619</v>
      </c>
      <c r="E13" s="2">
        <f t="shared" si="1"/>
        <v>0.13223482451443314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309A-F7A2-46B0-817B-864E9FD5DBAA}">
  <dimension ref="B1:E13"/>
  <sheetViews>
    <sheetView workbookViewId="0">
      <selection activeCell="D12" sqref="D12"/>
    </sheetView>
  </sheetViews>
  <sheetFormatPr defaultRowHeight="14.25" x14ac:dyDescent="0.45"/>
  <cols>
    <col min="2" max="2" width="24.73046875" bestFit="1" customWidth="1"/>
    <col min="3" max="3" width="23.265625" bestFit="1" customWidth="1"/>
    <col min="4" max="4" width="15.86328125" bestFit="1" customWidth="1"/>
    <col min="5" max="5" width="14.265625" customWidth="1"/>
  </cols>
  <sheetData>
    <row r="1" spans="2:5" x14ac:dyDescent="0.45">
      <c r="B1" t="s">
        <v>12</v>
      </c>
      <c r="C1" t="s">
        <v>17</v>
      </c>
    </row>
    <row r="2" spans="2:5" x14ac:dyDescent="0.45">
      <c r="B2" t="s">
        <v>8</v>
      </c>
      <c r="C2">
        <v>2015</v>
      </c>
    </row>
    <row r="3" spans="2:5" x14ac:dyDescent="0.45">
      <c r="B3" t="s">
        <v>0</v>
      </c>
      <c r="C3">
        <v>2015</v>
      </c>
    </row>
    <row r="4" spans="2:5" x14ac:dyDescent="0.45">
      <c r="B4" t="s">
        <v>1</v>
      </c>
      <c r="C4">
        <v>2039</v>
      </c>
    </row>
    <row r="6" spans="2:5" x14ac:dyDescent="0.45">
      <c r="B6" t="s">
        <v>3</v>
      </c>
      <c r="C6" t="s">
        <v>15</v>
      </c>
    </row>
    <row r="8" spans="2:5" x14ac:dyDescent="0.45">
      <c r="B8" t="s">
        <v>10</v>
      </c>
      <c r="C8" s="5" t="s">
        <v>2</v>
      </c>
      <c r="D8" s="5" t="s">
        <v>5</v>
      </c>
      <c r="E8" s="5" t="s">
        <v>7</v>
      </c>
    </row>
    <row r="9" spans="2:5" x14ac:dyDescent="0.45">
      <c r="B9">
        <v>2015</v>
      </c>
      <c r="C9" s="4">
        <v>207</v>
      </c>
      <c r="D9" s="4">
        <v>70140</v>
      </c>
      <c r="E9" s="4">
        <v>1730</v>
      </c>
    </row>
    <row r="10" spans="2:5" x14ac:dyDescent="0.45">
      <c r="B10">
        <v>2039</v>
      </c>
      <c r="C10" s="4">
        <v>29408</v>
      </c>
      <c r="D10" s="4">
        <v>77666</v>
      </c>
      <c r="E10" s="4">
        <v>7238</v>
      </c>
    </row>
    <row r="11" spans="2:5" x14ac:dyDescent="0.45">
      <c r="C11" s="4"/>
      <c r="D11" s="4"/>
      <c r="E11" s="4"/>
    </row>
    <row r="12" spans="2:5" x14ac:dyDescent="0.45">
      <c r="B12" t="s">
        <v>11</v>
      </c>
      <c r="C12" s="4">
        <f>C10-C9</f>
        <v>29201</v>
      </c>
      <c r="D12" s="4">
        <f t="shared" ref="D12:E12" si="0">D10-D9</f>
        <v>7526</v>
      </c>
      <c r="E12" s="4">
        <f t="shared" si="0"/>
        <v>5508</v>
      </c>
    </row>
    <row r="13" spans="2:5" x14ac:dyDescent="0.45">
      <c r="B13" t="s">
        <v>6</v>
      </c>
      <c r="C13" s="2">
        <f>C12/SUM($C$12:$E$12)</f>
        <v>0.6913933941044158</v>
      </c>
      <c r="D13" s="2">
        <f t="shared" ref="D13:E13" si="1">D12/SUM($C$12:$E$12)</f>
        <v>0.17819344145850599</v>
      </c>
      <c r="E13" s="2">
        <f t="shared" si="1"/>
        <v>0.13041316443707826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5AE1FFC98EB74286A4F6C25286592C" ma:contentTypeVersion="16" ma:contentTypeDescription="Create a new document." ma:contentTypeScope="" ma:versionID="f0d29d9c6508f4bb436612ed1a3bea1c">
  <xsd:schema xmlns:xsd="http://www.w3.org/2001/XMLSchema" xmlns:xs="http://www.w3.org/2001/XMLSchema" xmlns:p="http://schemas.microsoft.com/office/2006/metadata/properties" xmlns:ns2="2dfc16eb-708d-4ec9-8c01-531c9e227399" xmlns:ns3="857011bc-0a59-46e1-9004-ec215979dd0f" targetNamespace="http://schemas.microsoft.com/office/2006/metadata/properties" ma:root="true" ma:fieldsID="541e1aa713ccfb3245ab5772c056387b" ns2:_="" ns3:_="">
    <xsd:import namespace="2dfc16eb-708d-4ec9-8c01-531c9e227399"/>
    <xsd:import namespace="857011bc-0a59-46e1-9004-ec215979dd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c16eb-708d-4ec9-8c01-531c9e227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7011bc-0a59-46e1-9004-ec215979dd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ffb4d3-17c7-4c14-b09e-642657e6681f}" ma:internalName="TaxCatchAll" ma:showField="CatchAllData" ma:web="857011bc-0a59-46e1-9004-ec215979dd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7011bc-0a59-46e1-9004-ec215979dd0f" xsi:nil="true"/>
    <lcf76f155ced4ddcb4097134ff3c332f xmlns="2dfc16eb-708d-4ec9-8c01-531c9e2273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1E4173-5508-4327-8CB0-C53901CA8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fc16eb-708d-4ec9-8c01-531c9e227399"/>
    <ds:schemaRef ds:uri="857011bc-0a59-46e1-9004-ec215979dd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B04FB5-5531-40E3-88E6-96E7CC08AB28}">
  <ds:schemaRefs>
    <ds:schemaRef ds:uri="http://schemas.microsoft.com/sharepoint/v3/contenttype/forms"/>
  </ds:schemaRefs>
</ds:datastoreItem>
</file>

<file path=customXml/itemProps3.xml><?xml version="1.0" encoding="utf-8"?>
<ds:datastoreItem xmlns:ds="http://schemas.openxmlformats.org/officeDocument/2006/customXml" ds:itemID="{0ECCB2A3-5CF7-43A4-A564-CF2A9CC0A8D5}">
  <ds:schemaRefs>
    <ds:schemaRef ds:uri="http://purl.org/dc/terms/"/>
    <ds:schemaRef ds:uri="857011bc-0a59-46e1-9004-ec215979dd0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dfc16eb-708d-4ec9-8c01-531c9e2273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Readme</vt:lpstr>
      <vt:lpstr>NWSO</vt:lpstr>
      <vt:lpstr>Mt View PS</vt:lpstr>
      <vt:lpstr>TransCanada Trunk</vt:lpstr>
      <vt:lpstr>New WTP</vt:lpstr>
      <vt:lpstr>Forest Lawn Creek</vt:lpstr>
      <vt:lpstr>Ogden FM</vt:lpstr>
      <vt:lpstr>Lower Sarcee FM</vt:lpstr>
      <vt:lpstr>210 Ave FM&amp;PS</vt:lpstr>
      <vt:lpstr>East McKenzie FM</vt:lpstr>
      <vt:lpstr>Northridge &amp; PS36</vt:lpstr>
      <vt:lpstr>Saddleridge Trunk</vt:lpstr>
      <vt:lpstr>Bowness Trunk</vt:lpstr>
      <vt:lpstr>Shouldice Trunk</vt:lpstr>
      <vt:lpstr>Nose Creek Trunk</vt:lpstr>
      <vt:lpstr>Inglewood Trunk</vt:lpstr>
      <vt:lpstr>McKenzie Siphon</vt:lpstr>
      <vt:lpstr>Wastewater Treatment - North</vt:lpstr>
      <vt:lpstr>Wastewater Treatment - South</vt:lpstr>
      <vt:lpstr>Water Treatment - North</vt:lpstr>
      <vt:lpstr>Water Treatment - South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 Chris</dc:creator>
  <cp:lastModifiedBy>Tse, Chris</cp:lastModifiedBy>
  <dcterms:created xsi:type="dcterms:W3CDTF">2023-10-06T22:53:46Z</dcterms:created>
  <dcterms:modified xsi:type="dcterms:W3CDTF">2023-12-05T00:35:55Z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0x010100315AE1FFC98EB74286A4F6C25286592C</vt:lpwstr>
  </property>
  <property fmtid="{D5CDD505-2E9C-101B-9397-08002B2CF9AE}" pid="3" name="MediaServiceImageTags">
    <vt:lpwstr/>
  </property>
</Properties>
</file>