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4.xml" ContentType="application/vnd.openxmlformats-officedocument.spreadsheetml.comments+xml"/>
  <Override PartName="/xl/threadedComments/threadedComment4.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calgarycity.sharepoint.com/sites/Off-SiteLevyCoreTeam-CG-OSLCoreTeaminternal/Shared Documents/OSL Core Team (internal)/OSL - Financial Modeling/Formatted Financial Models/"/>
    </mc:Choice>
  </mc:AlternateContent>
  <xr:revisionPtr revIDLastSave="41" documentId="13_ncr:1_{8FAB4BF9-1B8E-47BD-B48C-001B6467C2F7}" xr6:coauthVersionLast="47" xr6:coauthVersionMax="47" xr10:uidLastSave="{95782EB1-396F-41A1-B048-F741283DBC2E}"/>
  <bookViews>
    <workbookView xWindow="28680" yWindow="-105" windowWidth="29040" windowHeight="15720" tabRatio="601" activeTab="5" xr2:uid="{28045A4B-2A9F-4D6C-9971-E1F060DE9660}"/>
  </bookViews>
  <sheets>
    <sheet name="Read me" sheetId="184" r:id="rId1"/>
    <sheet name="Tab 1 - Summary" sheetId="185" r:id="rId2"/>
    <sheet name="Tab 2 - Citywide" sheetId="176" r:id="rId3"/>
    <sheet name="capacity15" sheetId="139" state="hidden" r:id="rId4"/>
    <sheet name="capacity25" sheetId="144" state="hidden" r:id="rId5"/>
    <sheet name="Tab 3 - Catchment" sheetId="183" r:id="rId6"/>
    <sheet name="Tab 4 - Balance" sheetId="123" r:id="rId7"/>
    <sheet name="Tab 5 - Capital" sheetId="113" r:id="rId8"/>
    <sheet name="Tab 6 - Bow" sheetId="170" r:id="rId9"/>
    <sheet name="Tab 7 - Nose" sheetId="172" r:id="rId10"/>
    <sheet name="Tab 8 - Shepard" sheetId="166" r:id="rId11"/>
    <sheet name="Tab 9 - Fish" sheetId="174" r:id="rId12"/>
    <sheet name="Tab 10 - Pine" sheetId="168" r:id="rId13"/>
    <sheet name="Tab 11 - General" sheetId="116" r:id="rId14"/>
    <sheet name="Tab 12 - Land Absorption" sheetId="15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2000_stmcap" localSheetId="0">#REF!</definedName>
    <definedName name="_2000_stmcap" localSheetId="1">#REF!</definedName>
    <definedName name="_2000_stmcap" localSheetId="12">#REF!</definedName>
    <definedName name="_2000_stmcap" localSheetId="8">#REF!</definedName>
    <definedName name="_2000_stmcap" localSheetId="9">#REF!</definedName>
    <definedName name="_2000_stmcap" localSheetId="10">#REF!</definedName>
    <definedName name="_2000_stmcap" localSheetId="11">#REF!</definedName>
    <definedName name="_2000_stmcap">#REF!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12" hidden="1">#REF!</definedName>
    <definedName name="_Dist_Bin" localSheetId="7" hidden="1">#REF!</definedName>
    <definedName name="_Dist_Bin" localSheetId="8" hidden="1">#REF!</definedName>
    <definedName name="_Dist_Bin" localSheetId="9" hidden="1">#REF!</definedName>
    <definedName name="_Dist_Bin" localSheetId="10" hidden="1">#REF!</definedName>
    <definedName name="_Dist_Bin" localSheetId="11" hidden="1">#REF!</definedName>
    <definedName name="_Dist_Bin" hidden="1">#REF!</definedName>
    <definedName name="_Dist_Values" localSheetId="12" hidden="1">#REF!</definedName>
    <definedName name="_Dist_Values" localSheetId="7" hidden="1">#REF!</definedName>
    <definedName name="_Dist_Values" localSheetId="8" hidden="1">#REF!</definedName>
    <definedName name="_Dist_Values" localSheetId="9" hidden="1">#REF!</definedName>
    <definedName name="_Dist_Values" localSheetId="10" hidden="1">#REF!</definedName>
    <definedName name="_Dist_Values" localSheetId="11" hidden="1">#REF!</definedName>
    <definedName name="_Dist_Values" hidden="1">#REF!</definedName>
    <definedName name="_Fill" localSheetId="12"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xlnm._FilterDatabase" localSheetId="7" hidden="1">'Tab 5 - Capital'!$A$1:$AA$20</definedName>
    <definedName name="_Key1" localSheetId="12"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hidden="1">#REF!</definedName>
    <definedName name="_Key2" localSheetId="12"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_Sort" localSheetId="12"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hidden="1">#REF!</definedName>
    <definedName name="a" localSheetId="12">#REF!</definedName>
    <definedName name="a" localSheetId="8">#REF!</definedName>
    <definedName name="a" localSheetId="9">#REF!</definedName>
    <definedName name="a" localSheetId="10">#REF!</definedName>
    <definedName name="a" localSheetId="11">#REF!</definedName>
    <definedName name="a">#REF!</definedName>
    <definedName name="A1_Cash">'[1]O-1 Other Payables'!#REF!</definedName>
    <definedName name="abc" localSheetId="0">#REF!</definedName>
    <definedName name="abc" localSheetId="1">#REF!</definedName>
    <definedName name="abc" localSheetId="12">#REF!</definedName>
    <definedName name="abc" localSheetId="8">#REF!</definedName>
    <definedName name="abc" localSheetId="9">#REF!</definedName>
    <definedName name="abc" localSheetId="10">#REF!</definedName>
    <definedName name="abc" localSheetId="11">#REF!</definedName>
    <definedName name="abc">#REF!</definedName>
    <definedName name="acc">#REF!</definedName>
    <definedName name="Account_Groups">[2]Sheet2!$A$1:$A$5</definedName>
    <definedName name="Accounts_Payable">#REF!</definedName>
    <definedName name="Accrued_Interest_Payable">#REF!</definedName>
    <definedName name="acct2">'[1]O-1 Other Payables'!#REF!</definedName>
    <definedName name="Accumulated_Depreciation">#REF!</definedName>
    <definedName name="acd" localSheetId="12">#REF!</definedName>
    <definedName name="acd" localSheetId="8">#REF!</definedName>
    <definedName name="acd" localSheetId="9">#REF!</definedName>
    <definedName name="acd" localSheetId="10">#REF!</definedName>
    <definedName name="acd" localSheetId="11">#REF!</definedName>
    <definedName name="acd">#REF!</definedName>
    <definedName name="afsdas" localSheetId="12">'[3]Rating Scales'!#REF!</definedName>
    <definedName name="afsdas" localSheetId="7">'[3]Rating Scales'!#REF!</definedName>
    <definedName name="afsdas" localSheetId="8">'[3]Rating Scales'!#REF!</definedName>
    <definedName name="afsdas" localSheetId="9">'[3]Rating Scales'!#REF!</definedName>
    <definedName name="afsdas" localSheetId="10">'[3]Rating Scales'!#REF!</definedName>
    <definedName name="afsdas" localSheetId="11">'[3]Rating Scales'!#REF!</definedName>
    <definedName name="afsdas">'[3]Rating Scales'!#REF!</definedName>
    <definedName name="Agreement_Year" localSheetId="0">'[4]Rcvd 2012-2014 AA'!$B$2:$B$2194</definedName>
    <definedName name="Agreement_Year" localSheetId="1">'[4]Rcvd 2012-2014 AA'!$B$2:$B$2194</definedName>
    <definedName name="Agreement_Year">'[5]Rcvd 2012-2014 AA'!$B$2:$B$2194</definedName>
    <definedName name="Agreement_Year_NoDrain" localSheetId="0">'[4]2012-2014 AA NO DRAINAGE'!$B$2:$B$1727</definedName>
    <definedName name="Agreement_Year_NoDrain" localSheetId="1">'[4]2012-2014 AA NO DRAINAGE'!$B$2:$B$1727</definedName>
    <definedName name="Agreement_Year_NoDrain">'[5]2012-2014 AA NO DRAINAGE'!$B$2:$B$1727</definedName>
    <definedName name="alloc_num" localSheetId="0">'[6]Regional Allocation (2015)'!$A$173:$A$183</definedName>
    <definedName name="alloc_num">'[7]Regional Allocation'!$A$173:$A$183</definedName>
    <definedName name="Allocation_of_Plant_in_Service">"Plantinservice"</definedName>
    <definedName name="allocation1" localSheetId="0">'[6]Regional Allocation (2015)'!$D$173:$F$183</definedName>
    <definedName name="allocation1">'[7]Regional Allocation'!$D$173:$F$183</definedName>
    <definedName name="allocation2" localSheetId="0">'[6]Regional Allocation (2015)'!$I$173:$J$183</definedName>
    <definedName name="allocation2">'[7]Regional Allocation'!$I$173:$J$183</definedName>
    <definedName name="allocationbasis1" localSheetId="0">'[6]Regional Allocation (2015)'!$B$173:$B$183</definedName>
    <definedName name="allocationbasis1">'[7]Regional Allocation'!$B$173:$B$183</definedName>
    <definedName name="allocationbasis2" localSheetId="0">'[6]Regional Allocation (2015)'!$H$173:$H$183</definedName>
    <definedName name="allocationbasis2">'[7]Regional Allocation'!$H$173:$H$183</definedName>
    <definedName name="Amount" localSheetId="0">'[4]Rcvd 2012-2014 AA'!$D$2:$D$2194</definedName>
    <definedName name="Amount" localSheetId="1">'[4]Rcvd 2012-2014 AA'!$D$2:$D$2194</definedName>
    <definedName name="Amount">'[5]Rcvd 2012-2014 AA'!$D$2:$D$2194</definedName>
    <definedName name="Amount_NoDrain" localSheetId="0">'[4]2012-2014 AA NO DRAINAGE'!$D$2:$D$1727</definedName>
    <definedName name="Amount_NoDrain" localSheetId="1">'[4]2012-2014 AA NO DRAINAGE'!$D$2:$D$1727</definedName>
    <definedName name="Amount_NoDrain">'[5]2012-2014 AA NO DRAINAGE'!$D$2:$D$1727</definedName>
    <definedName name="Analysis_Lookup">[8]Lookup!#REF!</definedName>
    <definedName name="Annual_Estimated_Absorption__ha">#REF!</definedName>
    <definedName name="annual_expense">[9]Dashboard!$C$88:$L$88</definedName>
    <definedName name="annualpmts" localSheetId="0">'[10]Ver 1 - Loan beg 2009'!#REF!</definedName>
    <definedName name="annualpmts" localSheetId="1">'[10]Ver 1 - Loan beg 2009'!#REF!</definedName>
    <definedName name="annualpmts" localSheetId="12">'[10]Ver 1 - Loan beg 2009'!#REF!</definedName>
    <definedName name="annualpmts" localSheetId="8">'[10]Ver 1 - Loan beg 2009'!#REF!</definedName>
    <definedName name="annualpmts" localSheetId="9">'[10]Ver 1 - Loan beg 2009'!#REF!</definedName>
    <definedName name="annualpmts" localSheetId="10">'[10]Ver 1 - Loan beg 2009'!#REF!</definedName>
    <definedName name="annualpmts" localSheetId="11">'[10]Ver 1 - Loan beg 2009'!#REF!</definedName>
    <definedName name="annualpmts">'[10]Ver 1 - Loan beg 2009'!#REF!</definedName>
    <definedName name="APmt" localSheetId="0">'[10]Ver 1 - Loan beg 2009'!#REF!</definedName>
    <definedName name="APmt" localSheetId="1">'[10]Ver 1 - Loan beg 2009'!#REF!</definedName>
    <definedName name="APmt" localSheetId="12">'[10]Ver 1 - Loan beg 2009'!#REF!</definedName>
    <definedName name="APmt" localSheetId="8">'[10]Ver 1 - Loan beg 2009'!#REF!</definedName>
    <definedName name="APmt" localSheetId="9">'[10]Ver 1 - Loan beg 2009'!#REF!</definedName>
    <definedName name="APmt" localSheetId="10">'[10]Ver 1 - Loan beg 2009'!#REF!</definedName>
    <definedName name="APmt" localSheetId="11">'[10]Ver 1 - Loan beg 2009'!#REF!</definedName>
    <definedName name="APmt">'[10]Ver 1 - Loan beg 2009'!#REF!</definedName>
    <definedName name="ASD" localSheetId="12">[11]P840!#REF!</definedName>
    <definedName name="ASD" localSheetId="8">[11]P840!#REF!</definedName>
    <definedName name="ASD" localSheetId="9">[11]P840!#REF!</definedName>
    <definedName name="ASD" localSheetId="10">[11]P840!#REF!</definedName>
    <definedName name="ASD" localSheetId="11">[11]P840!#REF!</definedName>
    <definedName name="ASD">[11]P840!#REF!</definedName>
    <definedName name="asdf" localSheetId="12">'[12]2011 Financials'!#REF!</definedName>
    <definedName name="asdf" localSheetId="7">'[12]2011 Financials'!#REF!</definedName>
    <definedName name="asdf" localSheetId="8">'[12]2011 Financials'!#REF!</definedName>
    <definedName name="asdf" localSheetId="9">'[12]2011 Financials'!#REF!</definedName>
    <definedName name="asdf" localSheetId="10">'[12]2011 Financials'!#REF!</definedName>
    <definedName name="asdf" localSheetId="11">'[12]2011 Financials'!#REF!</definedName>
    <definedName name="asdf">'[12]2011 Financials'!#REF!</definedName>
    <definedName name="assumptions">[6]Assumptions!$E$8:$I$25</definedName>
    <definedName name="b" localSheetId="0">#REF!</definedName>
    <definedName name="b" localSheetId="1">#REF!</definedName>
    <definedName name="b" localSheetId="12">#REF!</definedName>
    <definedName name="b" localSheetId="8">#REF!</definedName>
    <definedName name="b" localSheetId="9">#REF!</definedName>
    <definedName name="b" localSheetId="10">#REF!</definedName>
    <definedName name="b" localSheetId="11">#REF!</definedName>
    <definedName name="b">#REF!</definedName>
    <definedName name="B1_Investments" localSheetId="0">'[1]O-1 Other Payables'!#REF!</definedName>
    <definedName name="B1_Investments" localSheetId="1">'[1]O-1 Other Payables'!#REF!</definedName>
    <definedName name="B1_Investments">'[1]O-1 Other Payables'!#REF!</definedName>
    <definedName name="BackupDir" localSheetId="0">[8]Lookup!#REF!</definedName>
    <definedName name="BackupDir" localSheetId="1">[8]Lookup!#REF!</definedName>
    <definedName name="BackupDir">[8]Lookup!#REF!</definedName>
    <definedName name="base_charge">[9]Dashboard!$D$101:$H$107</definedName>
    <definedName name="BASEYEAR" localSheetId="0">#REF!</definedName>
    <definedName name="BaseYear">[13]Summary!$C$7</definedName>
    <definedName name="Beg_Bal" localSheetId="0">#REF!</definedName>
    <definedName name="Beg_Bal" localSheetId="1">#REF!</definedName>
    <definedName name="Beg_Bal" localSheetId="12">#REF!</definedName>
    <definedName name="Beg_Bal" localSheetId="8">#REF!</definedName>
    <definedName name="Beg_Bal" localSheetId="9">#REF!</definedName>
    <definedName name="Beg_Bal" localSheetId="10">#REF!</definedName>
    <definedName name="Beg_Bal" localSheetId="11">#REF!</definedName>
    <definedName name="Beg_Bal">#REF!</definedName>
    <definedName name="biz_query" localSheetId="0">[14]Sheet1!#REF!</definedName>
    <definedName name="biz_query" localSheetId="1">[15]Sheet1!#REF!</definedName>
    <definedName name="biz_query" localSheetId="12">[15]Sheet1!#REF!</definedName>
    <definedName name="biz_query" localSheetId="7">[15]Sheet1!#REF!</definedName>
    <definedName name="biz_query" localSheetId="8">[15]Sheet1!#REF!</definedName>
    <definedName name="biz_query" localSheetId="9">[15]Sheet1!#REF!</definedName>
    <definedName name="biz_query" localSheetId="10">[15]Sheet1!#REF!</definedName>
    <definedName name="biz_query" localSheetId="11">[15]Sheet1!#REF!</definedName>
    <definedName name="biz_query">[15]Sheet1!#REF!</definedName>
    <definedName name="Btear105">'[16]Debt-WWTP 2014 Input'!$B$5</definedName>
    <definedName name="Btear1055" localSheetId="0">#REF!</definedName>
    <definedName name="Btear1055" localSheetId="1">#REF!</definedName>
    <definedName name="Btear1055" localSheetId="12">#REF!</definedName>
    <definedName name="Btear1055" localSheetId="8">#REF!</definedName>
    <definedName name="Btear1055" localSheetId="9">#REF!</definedName>
    <definedName name="Btear1055" localSheetId="10">#REF!</definedName>
    <definedName name="Btear1055" localSheetId="11">#REF!</definedName>
    <definedName name="Btear1055">#REF!</definedName>
    <definedName name="btear4" localSheetId="0">[17]Input!$B$5</definedName>
    <definedName name="btear4" localSheetId="1">[17]Input!$B$5</definedName>
    <definedName name="btear4">[18]Input!$B$5</definedName>
    <definedName name="BudYear">2014</definedName>
    <definedName name="BYear" localSheetId="0">[19]Input!$B$5</definedName>
    <definedName name="BYear">'[20].Menu'!$E$2</definedName>
    <definedName name="BYear1">'[21]WWTP-Red-Debt-10y'!$B$1</definedName>
    <definedName name="Byear101" localSheetId="0">#REF!</definedName>
    <definedName name="Byear101" localSheetId="1">#REF!</definedName>
    <definedName name="Byear101" localSheetId="12">#REF!</definedName>
    <definedName name="Byear101" localSheetId="8">#REF!</definedName>
    <definedName name="Byear101" localSheetId="9">#REF!</definedName>
    <definedName name="Byear101" localSheetId="10">#REF!</definedName>
    <definedName name="Byear101" localSheetId="11">#REF!</definedName>
    <definedName name="Byear101">#REF!</definedName>
    <definedName name="Byear102" localSheetId="12">#REF!</definedName>
    <definedName name="Byear102" localSheetId="8">#REF!</definedName>
    <definedName name="Byear102" localSheetId="9">#REF!</definedName>
    <definedName name="Byear102" localSheetId="10">#REF!</definedName>
    <definedName name="Byear102" localSheetId="11">#REF!</definedName>
    <definedName name="Byear102">#REF!</definedName>
    <definedName name="Byear103">'[16]Debt-Collection 2014 Input'!$B$5</definedName>
    <definedName name="Byear104">'[16]Debt-Collection2025 Input'!$B$6</definedName>
    <definedName name="Byear106">'[16]Debt-WWTP 2015-2024 Input'!$B$5</definedName>
    <definedName name="byear107">'[16]Debt-WWTP 2025 Input'!$B$5</definedName>
    <definedName name="BYear108">'[16]Debt- Distribution 2014 Input'!$B$5</definedName>
    <definedName name="BYear109">'[16]Debt- Distrib 2015-2024 Input'!$B$5</definedName>
    <definedName name="Byear110">'[16]Debt- Distrib 2025 Input'!$B$5</definedName>
    <definedName name="Byear111">'[16]Debt- Water Treatment2014 Input'!$B$5</definedName>
    <definedName name="Byear112">'[16]Debt-Water Treat 2015-2024Input'!$B$6</definedName>
    <definedName name="Byear113">'[16]Debt-WTP 2025 Input'!$B$6</definedName>
    <definedName name="byear12" localSheetId="0">[22]Input!$B$5</definedName>
    <definedName name="byear12" localSheetId="1">[22]Input!$B$5</definedName>
    <definedName name="byear12">[23]Input!$B$5</definedName>
    <definedName name="Byear13" localSheetId="0">[17]Input!$B$5</definedName>
    <definedName name="Byear13" localSheetId="1">[17]Input!$B$5</definedName>
    <definedName name="Byear13">[18]Input!$B$5</definedName>
    <definedName name="byear2" localSheetId="0">[17]Input!$B$5</definedName>
    <definedName name="byear2" localSheetId="1">[17]Input!$B$5</definedName>
    <definedName name="byear2">[18]Input!$B$5</definedName>
    <definedName name="Byear20" localSheetId="0">[17]Input!$B$5</definedName>
    <definedName name="Byear20" localSheetId="1">[17]Input!$B$5</definedName>
    <definedName name="Byear20">[18]Input!$B$5</definedName>
    <definedName name="Byear2004" localSheetId="0">[17]Input!$B$5</definedName>
    <definedName name="Byear2004" localSheetId="1">[17]Input!$B$5</definedName>
    <definedName name="Byear2004">[18]Input!$B$5</definedName>
    <definedName name="Byear2014" localSheetId="0">[24]Input!$B$5</definedName>
    <definedName name="Byear2014" localSheetId="1">[24]Input!$B$5</definedName>
    <definedName name="Byear2014">[25]Input!$B$5</definedName>
    <definedName name="Byear21" localSheetId="0">[26]Input!$B$5</definedName>
    <definedName name="Byear21" localSheetId="1">[26]Input!$B$5</definedName>
    <definedName name="Byear21">[27]Input!$B$5</definedName>
    <definedName name="bYEAR24" localSheetId="0">[28]Input!$B$5</definedName>
    <definedName name="bYEAR24" localSheetId="1">[28]Input!$B$5</definedName>
    <definedName name="bYEAR24">[29]Input!$B$5</definedName>
    <definedName name="byear25" localSheetId="0">[28]Input!$B$5</definedName>
    <definedName name="byear25" localSheetId="1">[28]Input!$B$5</definedName>
    <definedName name="byear25">[29]Input!$B$5</definedName>
    <definedName name="byear26" localSheetId="0">[28]Input!$B$5</definedName>
    <definedName name="byear26" localSheetId="1">[28]Input!$B$5</definedName>
    <definedName name="byear26">[29]Input!$B$5</definedName>
    <definedName name="byear27" localSheetId="0">[28]Input!$B$5</definedName>
    <definedName name="byear27" localSheetId="1">[28]Input!$B$5</definedName>
    <definedName name="byear27">[29]Input!$B$5</definedName>
    <definedName name="Byear3" localSheetId="0">[30]Input!$B$5</definedName>
    <definedName name="Byear3" localSheetId="1">[30]Input!$B$5</definedName>
    <definedName name="Byear3">[31]Input!$B$5</definedName>
    <definedName name="byear30" localSheetId="0">[24]Input!$B$5</definedName>
    <definedName name="byear30" localSheetId="1">[24]Input!$B$5</definedName>
    <definedName name="byear30">[25]Input!$B$5</definedName>
    <definedName name="byear31" localSheetId="0">[24]Input!$B$5</definedName>
    <definedName name="byear31" localSheetId="1">[24]Input!$B$5</definedName>
    <definedName name="byear31">[25]Input!$B$5</definedName>
    <definedName name="byear35" localSheetId="0">[24]Input!$B$5</definedName>
    <definedName name="byear35" localSheetId="1">[24]Input!$B$5</definedName>
    <definedName name="byear35">[25]Input!$B$5</definedName>
    <definedName name="Byear40">[32]Input!$B$5</definedName>
    <definedName name="byear41">[32]Input!$B$5</definedName>
    <definedName name="byear42">[33]Input!$B$5</definedName>
    <definedName name="Byear45" localSheetId="0">#REF!</definedName>
    <definedName name="Byear45" localSheetId="1">#REF!</definedName>
    <definedName name="Byear45" localSheetId="12">#REF!</definedName>
    <definedName name="Byear45" localSheetId="8">#REF!</definedName>
    <definedName name="Byear45" localSheetId="9">#REF!</definedName>
    <definedName name="Byear45" localSheetId="10">#REF!</definedName>
    <definedName name="Byear45" localSheetId="11">#REF!</definedName>
    <definedName name="Byear45">#REF!</definedName>
    <definedName name="byear46" localSheetId="12">#REF!</definedName>
    <definedName name="byear46" localSheetId="8">#REF!</definedName>
    <definedName name="byear46" localSheetId="9">#REF!</definedName>
    <definedName name="byear46" localSheetId="10">#REF!</definedName>
    <definedName name="byear46" localSheetId="11">#REF!</definedName>
    <definedName name="byear46">#REF!</definedName>
    <definedName name="byear47" localSheetId="12">#REF!</definedName>
    <definedName name="byear47" localSheetId="8">#REF!</definedName>
    <definedName name="byear47" localSheetId="9">#REF!</definedName>
    <definedName name="byear47" localSheetId="10">#REF!</definedName>
    <definedName name="byear47" localSheetId="11">#REF!</definedName>
    <definedName name="byear47">#REF!</definedName>
    <definedName name="byear48">[34]Input!$B$5</definedName>
    <definedName name="byear50" localSheetId="0">#REF!</definedName>
    <definedName name="byear50" localSheetId="1">#REF!</definedName>
    <definedName name="byear50" localSheetId="12">#REF!</definedName>
    <definedName name="byear50" localSheetId="8">#REF!</definedName>
    <definedName name="byear50" localSheetId="9">#REF!</definedName>
    <definedName name="byear50" localSheetId="10">#REF!</definedName>
    <definedName name="byear50" localSheetId="11">#REF!</definedName>
    <definedName name="byear50">#REF!</definedName>
    <definedName name="Byear51" localSheetId="0">[35]Input!$B$5</definedName>
    <definedName name="Byear51" localSheetId="1">[35]Input!$B$5</definedName>
    <definedName name="Byear51">[36]Input!$B$5</definedName>
    <definedName name="byear52" localSheetId="0">#REF!</definedName>
    <definedName name="byear52" localSheetId="1">#REF!</definedName>
    <definedName name="byear52" localSheetId="12">#REF!</definedName>
    <definedName name="byear52" localSheetId="8">#REF!</definedName>
    <definedName name="byear52" localSheetId="9">#REF!</definedName>
    <definedName name="byear52" localSheetId="10">#REF!</definedName>
    <definedName name="byear52" localSheetId="11">#REF!</definedName>
    <definedName name="byear52">#REF!</definedName>
    <definedName name="Byear53" localSheetId="12">#REF!</definedName>
    <definedName name="Byear53" localSheetId="8">#REF!</definedName>
    <definedName name="Byear53" localSheetId="9">#REF!</definedName>
    <definedName name="Byear53" localSheetId="10">#REF!</definedName>
    <definedName name="Byear53" localSheetId="11">#REF!</definedName>
    <definedName name="Byear53">#REF!</definedName>
    <definedName name="byear54" localSheetId="12">#REF!</definedName>
    <definedName name="byear54" localSheetId="8">#REF!</definedName>
    <definedName name="byear54" localSheetId="9">#REF!</definedName>
    <definedName name="byear54" localSheetId="10">#REF!</definedName>
    <definedName name="byear54" localSheetId="11">#REF!</definedName>
    <definedName name="byear54">#REF!</definedName>
    <definedName name="Byear55" localSheetId="12">#REF!</definedName>
    <definedName name="Byear55" localSheetId="8">#REF!</definedName>
    <definedName name="Byear55" localSheetId="9">#REF!</definedName>
    <definedName name="Byear55" localSheetId="10">#REF!</definedName>
    <definedName name="Byear55" localSheetId="11">#REF!</definedName>
    <definedName name="Byear55">#REF!</definedName>
    <definedName name="byear57" localSheetId="12">#REF!</definedName>
    <definedName name="byear57" localSheetId="8">#REF!</definedName>
    <definedName name="byear57" localSheetId="9">#REF!</definedName>
    <definedName name="byear57" localSheetId="10">#REF!</definedName>
    <definedName name="byear57" localSheetId="11">#REF!</definedName>
    <definedName name="byear57">#REF!</definedName>
    <definedName name="byear59" localSheetId="12">#REF!</definedName>
    <definedName name="byear59" localSheetId="8">#REF!</definedName>
    <definedName name="byear59" localSheetId="9">#REF!</definedName>
    <definedName name="byear59" localSheetId="10">#REF!</definedName>
    <definedName name="byear59" localSheetId="11">#REF!</definedName>
    <definedName name="byear59">#REF!</definedName>
    <definedName name="Byear6" localSheetId="0">[37]Input!$B$5</definedName>
    <definedName name="Byear6" localSheetId="1">[37]Input!$B$5</definedName>
    <definedName name="Byear6">[38]Input!$B$5</definedName>
    <definedName name="Byear60" localSheetId="0">#REF!</definedName>
    <definedName name="Byear60" localSheetId="1">#REF!</definedName>
    <definedName name="Byear60" localSheetId="12">#REF!</definedName>
    <definedName name="Byear60" localSheetId="8">#REF!</definedName>
    <definedName name="Byear60" localSheetId="9">#REF!</definedName>
    <definedName name="Byear60" localSheetId="10">#REF!</definedName>
    <definedName name="Byear60" localSheetId="11">#REF!</definedName>
    <definedName name="Byear60">#REF!</definedName>
    <definedName name="Byear7" localSheetId="0">[26]Input!$B$5</definedName>
    <definedName name="Byear7" localSheetId="1">[26]Input!$B$5</definedName>
    <definedName name="Byear7">[27]Input!$B$5</definedName>
    <definedName name="Byear70">[39]Input!$B$5</definedName>
    <definedName name="byear72">[40]Input!$B$5</definedName>
    <definedName name="Byear8" localSheetId="0">[30]Input!$B$5</definedName>
    <definedName name="Byear8" localSheetId="1">[30]Input!$B$5</definedName>
    <definedName name="Byear8">[31]Input!$B$5</definedName>
    <definedName name="Byear90">'[16]Debt-Collection Input 2015-2024'!$B$7</definedName>
    <definedName name="Capital_Deposits">#REF!</definedName>
    <definedName name="Capital_Fund">#REF!</definedName>
    <definedName name="Cash">#REF!</definedName>
    <definedName name="Category1" localSheetId="12">#REF!</definedName>
    <definedName name="Category1" localSheetId="7">#REF!</definedName>
    <definedName name="Category1" localSheetId="8">#REF!</definedName>
    <definedName name="Category1" localSheetId="9">#REF!</definedName>
    <definedName name="Category1" localSheetId="10">#REF!</definedName>
    <definedName name="Category1" localSheetId="11">#REF!</definedName>
    <definedName name="Category1">#REF!</definedName>
    <definedName name="Category2" localSheetId="12">#REF!</definedName>
    <definedName name="Category2" localSheetId="7">#REF!</definedName>
    <definedName name="Category2" localSheetId="8">#REF!</definedName>
    <definedName name="Category2" localSheetId="9">#REF!</definedName>
    <definedName name="Category2" localSheetId="10">#REF!</definedName>
    <definedName name="Category2" localSheetId="11">#REF!</definedName>
    <definedName name="Category2">#REF!</definedName>
    <definedName name="Category3" localSheetId="12">#REF!</definedName>
    <definedName name="Category3" localSheetId="7">#REF!</definedName>
    <definedName name="Category3" localSheetId="8">#REF!</definedName>
    <definedName name="Category3" localSheetId="9">#REF!</definedName>
    <definedName name="Category3" localSheetId="10">#REF!</definedName>
    <definedName name="Category3" localSheetId="11">#REF!</definedName>
    <definedName name="Category3">#REF!</definedName>
    <definedName name="Category4" localSheetId="12">#REF!</definedName>
    <definedName name="Category4" localSheetId="7">#REF!</definedName>
    <definedName name="Category4" localSheetId="8">#REF!</definedName>
    <definedName name="Category4" localSheetId="9">#REF!</definedName>
    <definedName name="Category4" localSheetId="10">#REF!</definedName>
    <definedName name="Category4" localSheetId="11">#REF!</definedName>
    <definedName name="Category4">#REF!</definedName>
    <definedName name="Changes">[41]Sheet1!$D$242:$D$244</definedName>
    <definedName name="Choices">'[42]Dropdown choices'!$A$2:$A$7</definedName>
    <definedName name="_xlnm.Criteria" localSheetId="0">[43]loan!#REF!</definedName>
    <definedName name="_xlnm.Criteria" localSheetId="1">'[44]pop&amp;infl'!#REF!</definedName>
    <definedName name="_xlnm.Criteria" localSheetId="12">'[44]pop&amp;infl'!#REF!</definedName>
    <definedName name="_xlnm.Criteria" localSheetId="7">'[44]pop&amp;infl'!#REF!</definedName>
    <definedName name="_xlnm.Criteria" localSheetId="8">'[44]pop&amp;infl'!#REF!</definedName>
    <definedName name="_xlnm.Criteria" localSheetId="9">'[44]pop&amp;infl'!#REF!</definedName>
    <definedName name="_xlnm.Criteria" localSheetId="10">'[44]pop&amp;infl'!#REF!</definedName>
    <definedName name="_xlnm.Criteria" localSheetId="11">'[44]pop&amp;infl'!#REF!</definedName>
    <definedName name="_xlnm.Criteria">'[44]pop&amp;infl'!#REF!</definedName>
    <definedName name="Criteria_MI" localSheetId="12">'[44]pop&amp;infl'!#REF!</definedName>
    <definedName name="Criteria_MI" localSheetId="7">'[44]pop&amp;infl'!#REF!</definedName>
    <definedName name="Criteria_MI" localSheetId="8">'[44]pop&amp;infl'!#REF!</definedName>
    <definedName name="Criteria_MI" localSheetId="9">'[44]pop&amp;infl'!#REF!</definedName>
    <definedName name="Criteria_MI" localSheetId="10">'[44]pop&amp;infl'!#REF!</definedName>
    <definedName name="Criteria_MI" localSheetId="11">'[44]pop&amp;infl'!#REF!</definedName>
    <definedName name="Criteria_MI">'[44]pop&amp;infl'!#REF!</definedName>
    <definedName name="Cum_Int" localSheetId="0">#REF!</definedName>
    <definedName name="Cum_Int" localSheetId="1">#REF!</definedName>
    <definedName name="Cum_Int" localSheetId="12">#REF!</definedName>
    <definedName name="Cum_Int" localSheetId="8">#REF!</definedName>
    <definedName name="Cum_Int" localSheetId="9">#REF!</definedName>
    <definedName name="Cum_Int" localSheetId="10">#REF!</definedName>
    <definedName name="Cum_Int" localSheetId="11">#REF!</definedName>
    <definedName name="Cum_Int">#REF!</definedName>
    <definedName name="D1_Taxes_Receivable" localSheetId="0">'[1]O-1 Other Payables'!#REF!</definedName>
    <definedName name="D1_Taxes_Receivable" localSheetId="1">'[1]O-1 Other Payables'!#REF!</definedName>
    <definedName name="D1_Taxes_Receivable">'[1]O-1 Other Payables'!#REF!</definedName>
    <definedName name="dashboard_years" localSheetId="0">[6]Dashboard!$C$22:$G$22</definedName>
    <definedName name="dashboard_years">[7]Dashboard!$C$22:$H$22</definedName>
    <definedName name="Data" localSheetId="0">#REF!</definedName>
    <definedName name="Data" localSheetId="1">#REF!</definedName>
    <definedName name="Data" localSheetId="12">#REF!</definedName>
    <definedName name="Data" localSheetId="8">#REF!</definedName>
    <definedName name="Data" localSheetId="9">#REF!</definedName>
    <definedName name="Data" localSheetId="10">#REF!</definedName>
    <definedName name="Data" localSheetId="11">#REF!</definedName>
    <definedName name="Data">#REF!</definedName>
    <definedName name="_xlnm.Database" localSheetId="0">[43]loan!#REF!</definedName>
    <definedName name="_xlnm.Database" localSheetId="1">'[44]pop&amp;infl'!#REF!</definedName>
    <definedName name="_xlnm.Database" localSheetId="12">'[44]pop&amp;infl'!#REF!</definedName>
    <definedName name="_xlnm.Database" localSheetId="7">'[44]pop&amp;infl'!#REF!</definedName>
    <definedName name="_xlnm.Database" localSheetId="8">'[44]pop&amp;infl'!#REF!</definedName>
    <definedName name="_xlnm.Database" localSheetId="9">'[44]pop&amp;infl'!#REF!</definedName>
    <definedName name="_xlnm.Database" localSheetId="10">'[44]pop&amp;infl'!#REF!</definedName>
    <definedName name="_xlnm.Database" localSheetId="11">'[44]pop&amp;infl'!#REF!</definedName>
    <definedName name="_xlnm.Database">'[44]pop&amp;infl'!#REF!</definedName>
    <definedName name="Database_MI" localSheetId="12">'[44]pop&amp;infl'!#REF!</definedName>
    <definedName name="Database_MI" localSheetId="7">'[44]pop&amp;infl'!#REF!</definedName>
    <definedName name="Database_MI" localSheetId="8">'[44]pop&amp;infl'!#REF!</definedName>
    <definedName name="Database_MI" localSheetId="9">'[44]pop&amp;infl'!#REF!</definedName>
    <definedName name="Database_MI" localSheetId="10">'[44]pop&amp;infl'!#REF!</definedName>
    <definedName name="Database_MI" localSheetId="11">'[44]pop&amp;infl'!#REF!</definedName>
    <definedName name="Database_MI">'[44]pop&amp;infl'!#REF!</definedName>
    <definedName name="DB_INSTANCE">[8]Lookup!$O$17</definedName>
    <definedName name="dd" localSheetId="0">[43]loan!#REF!</definedName>
    <definedName name="dd">[45]Lookup!$Y$4</definedName>
    <definedName name="Debt10">'[46]Water TP @2016'!$F$6</definedName>
    <definedName name="Debt25">'[46]Water TP @2016'!$E$6</definedName>
    <definedName name="DeferAmt" localSheetId="0">'[47]Master 2'!#REF!</definedName>
    <definedName name="DeferAmt" localSheetId="1">'[47]Master 2'!#REF!</definedName>
    <definedName name="DeferAmt" localSheetId="12">'[47]Master 2'!#REF!</definedName>
    <definedName name="DeferAmt" localSheetId="7">[48]AFE!#REF!</definedName>
    <definedName name="DeferAmt" localSheetId="8">'[47]Master 2'!#REF!</definedName>
    <definedName name="DeferAmt" localSheetId="9">'[47]Master 2'!#REF!</definedName>
    <definedName name="DeferAmt" localSheetId="10">'[47]Master 2'!#REF!</definedName>
    <definedName name="DeferAmt" localSheetId="11">'[47]Master 2'!#REF!</definedName>
    <definedName name="DeferAmt">'[47]Master 2'!#REF!</definedName>
    <definedName name="Deferred_Revenue" localSheetId="0">#REF!</definedName>
    <definedName name="Deferred_Revenue" localSheetId="1">#REF!</definedName>
    <definedName name="Deferred_Revenue">#REF!</definedName>
    <definedName name="Development_Type" localSheetId="0">'[4]Rcvd 2012-2014 AA'!$F$2:$F$2194</definedName>
    <definedName name="Development_Type" localSheetId="1">'[4]Rcvd 2012-2014 AA'!$F$2:$F$2194</definedName>
    <definedName name="Development_Type">'[5]Rcvd 2012-2014 AA'!$F$2:$F$2194</definedName>
    <definedName name="Development_Type_NoDrain" localSheetId="0">'[4]2012-2014 AA NO DRAINAGE'!$E$2:$E$1727</definedName>
    <definedName name="Development_Type_NoDrain" localSheetId="1">'[4]2012-2014 AA NO DRAINAGE'!$E$2:$E$1727</definedName>
    <definedName name="Development_Type_NoDrain">'[5]2012-2014 AA NO DRAINAGE'!$E$2:$E$1727</definedName>
    <definedName name="dgdfg" hidden="1">#REF!</definedName>
    <definedName name="Disc3.3">'[46]Water TP @2016'!$H$6</definedName>
    <definedName name="DiscountRate">[13]Summary!$C$8</definedName>
    <definedName name="DOLLARS_THOUSANDS" localSheetId="7">'[49]GL as of Jan 16th for Dec 2013'!$C$1:$F$65536,'[49]GL as of Jan 16th for Dec 2013'!$I$1:$I$65536,'[49]GL as of Jan 16th for Dec 2013'!$N$1:$AG$65536</definedName>
    <definedName name="DOLLARS_THOUSANDS">'[50]GL as of Jan 16th for Dec 2013'!$C$1:$F$65536,'[50]GL as of Jan 16th for Dec 2013'!$I$1:$I$65536,'[50]GL as of Jan 16th for Dec 2013'!$N$1:$AG$65536</definedName>
    <definedName name="DOLLARS_THOUSANDS_Label" localSheetId="12">#REF!</definedName>
    <definedName name="DOLLARS_THOUSANDS_Label" localSheetId="7">#REF!</definedName>
    <definedName name="DOLLARS_THOUSANDS_Label" localSheetId="8">#REF!</definedName>
    <definedName name="DOLLARS_THOUSANDS_Label" localSheetId="9">#REF!</definedName>
    <definedName name="DOLLARS_THOUSANDS_Label" localSheetId="10">#REF!</definedName>
    <definedName name="DOLLARS_THOUSANDS_Label" localSheetId="11">#REF!</definedName>
    <definedName name="DOLLARS_THOUSANDS_Label">#REF!</definedName>
    <definedName name="Drivers">'[51]Rating Scales'!$M$6:$M$17</definedName>
    <definedName name="Due_To_From">#REF!</definedName>
    <definedName name="Due_To_Other_Funds">#REF!</definedName>
    <definedName name="E1_Senior_Govt1">'[1]O-1 Other Payables'!#REF!</definedName>
    <definedName name="E2_Senior_Govt2">'[1]O-1 Other Payables'!#REF!</definedName>
    <definedName name="ECA">'[1]O-1 Other Payables'!#REF!</definedName>
    <definedName name="ECA_External">'[1]O-1 Other Payables'!#REF!</definedName>
    <definedName name="Employee_Benefit_Liability">#REF!</definedName>
    <definedName name="End_Bal" localSheetId="12">#REF!</definedName>
    <definedName name="End_Bal" localSheetId="8">#REF!</definedName>
    <definedName name="End_Bal" localSheetId="9">#REF!</definedName>
    <definedName name="End_Bal" localSheetId="10">#REF!</definedName>
    <definedName name="End_Bal" localSheetId="11">#REF!</definedName>
    <definedName name="End_Bal">#REF!</definedName>
    <definedName name="EndRow" localSheetId="12">#REF!</definedName>
    <definedName name="EndRow" localSheetId="8">#REF!</definedName>
    <definedName name="EndRow" localSheetId="9">#REF!</definedName>
    <definedName name="EndRow" localSheetId="10">#REF!</definedName>
    <definedName name="EndRow" localSheetId="11">#REF!</definedName>
    <definedName name="EndRow">#REF!</definedName>
    <definedName name="Equity_In_Fixed_Assets">#REF!</definedName>
    <definedName name="er">'[10]Ver 1 - Loan beg 2009'!#REF!</definedName>
    <definedName name="ExportDir">[8]Lookup!#REF!</definedName>
    <definedName name="Extent_Rating" localSheetId="12">'[3]Rating Scales'!#REF!</definedName>
    <definedName name="Extent_Rating" localSheetId="7">'[3]Rating Scales'!#REF!</definedName>
    <definedName name="Extent_Rating" localSheetId="8">'[3]Rating Scales'!#REF!</definedName>
    <definedName name="Extent_Rating" localSheetId="9">'[3]Rating Scales'!#REF!</definedName>
    <definedName name="Extent_Rating" localSheetId="10">'[3]Rating Scales'!#REF!</definedName>
    <definedName name="Extent_Rating" localSheetId="11">'[3]Rating Scales'!#REF!</definedName>
    <definedName name="Extent_Rating">'[3]Rating Scales'!#REF!</definedName>
    <definedName name="Extent_Ratings">'[51]Rating Scales'!$H$6:$I$10</definedName>
    <definedName name="Extent_Scale">'[51]Rating Scales'!$H$6:$H$10</definedName>
    <definedName name="ExteralData_TotalValue_IND2013" localSheetId="0">'[4]Calculated DA Values'!$D$2</definedName>
    <definedName name="ExteralData_TotalValue_IND2013" localSheetId="1">'[4]Calculated DA Values'!$D$2</definedName>
    <definedName name="ExteralData_TotalValue_IND2013">'[5]Calculated DA Values'!$D$2</definedName>
    <definedName name="ExteralData_TotalValue_IND2014" localSheetId="0">'[4]Calculated DA Values'!$D$7</definedName>
    <definedName name="ExteralData_TotalValue_IND2014" localSheetId="1">'[4]Calculated DA Values'!$D$7</definedName>
    <definedName name="ExteralData_TotalValue_IND2014">'[5]Calculated DA Values'!$D$7</definedName>
    <definedName name="Extra_Pay" localSheetId="0">#REF!</definedName>
    <definedName name="Extra_Pay" localSheetId="1">#REF!</definedName>
    <definedName name="Extra_Pay" localSheetId="12">#REF!</definedName>
    <definedName name="Extra_Pay" localSheetId="8">#REF!</definedName>
    <definedName name="Extra_Pay" localSheetId="9">#REF!</definedName>
    <definedName name="Extra_Pay" localSheetId="10">#REF!</definedName>
    <definedName name="Extra_Pay" localSheetId="11">#REF!</definedName>
    <definedName name="Extra_Pay">#REF!</definedName>
    <definedName name="_xlnm.Extract" localSheetId="0">'[44]pop&amp;infl'!#REF!</definedName>
    <definedName name="_xlnm.Extract" localSheetId="1">'[44]pop&amp;infl'!#REF!</definedName>
    <definedName name="_xlnm.Extract" localSheetId="12">'[44]pop&amp;infl'!#REF!</definedName>
    <definedName name="_xlnm.Extract" localSheetId="7">'[44]pop&amp;infl'!#REF!</definedName>
    <definedName name="_xlnm.Extract" localSheetId="8">'[44]pop&amp;infl'!#REF!</definedName>
    <definedName name="_xlnm.Extract" localSheetId="9">'[44]pop&amp;infl'!#REF!</definedName>
    <definedName name="_xlnm.Extract" localSheetId="10">'[44]pop&amp;infl'!#REF!</definedName>
    <definedName name="_xlnm.Extract" localSheetId="11">'[44]pop&amp;infl'!#REF!</definedName>
    <definedName name="_xlnm.Extract">'[44]pop&amp;infl'!#REF!</definedName>
    <definedName name="Extract_MI" localSheetId="12">'[44]pop&amp;infl'!#REF!</definedName>
    <definedName name="Extract_MI" localSheetId="7">'[44]pop&amp;infl'!#REF!</definedName>
    <definedName name="Extract_MI" localSheetId="8">'[44]pop&amp;infl'!#REF!</definedName>
    <definedName name="Extract_MI" localSheetId="9">'[44]pop&amp;infl'!#REF!</definedName>
    <definedName name="Extract_MI" localSheetId="10">'[44]pop&amp;infl'!#REF!</definedName>
    <definedName name="Extract_MI" localSheetId="11">'[44]pop&amp;infl'!#REF!</definedName>
    <definedName name="Extract_MI">'[44]pop&amp;infl'!#REF!</definedName>
    <definedName name="F1_Oth_Receive1">'[1]O-1 Other Payables'!#REF!</definedName>
    <definedName name="F2_Oth_Receive2">'[1]O-1 Other Payables'!#REF!</definedName>
    <definedName name="F3_Oth_Receive3">'[1]O-1 Other Payables'!#REF!</definedName>
    <definedName name="F4_Oth_Receive4">'[1]O-1 Other Payables'!#REF!</definedName>
    <definedName name="fdfsfkjsd" localSheetId="0">'[49]GL as of Jan 16th for Dec 2013'!#REF!,'[49]GL as of Jan 16th for Dec 2013'!#REF!,'[49]GL as of Jan 16th for Dec 2013'!#REF!</definedName>
    <definedName name="fdfsfkjsd" localSheetId="1">'[49]GL as of Jan 16th for Dec 2013'!#REF!,'[49]GL as of Jan 16th for Dec 2013'!#REF!,'[49]GL as of Jan 16th for Dec 2013'!#REF!</definedName>
    <definedName name="fdfsfkjsd" localSheetId="12">'[49]GL as of Jan 16th for Dec 2013'!#REF!,'[49]GL as of Jan 16th for Dec 2013'!#REF!,'[49]GL as of Jan 16th for Dec 2013'!#REF!</definedName>
    <definedName name="fdfsfkjsd" localSheetId="14">'[49]GL as of Jan 16th for Dec 2013'!#REF!,'[49]GL as of Jan 16th for Dec 2013'!#REF!,'[49]GL as of Jan 16th for Dec 2013'!#REF!</definedName>
    <definedName name="fdfsfkjsd" localSheetId="7">'[49]GL as of Jan 16th for Dec 2013'!#REF!,'[49]GL as of Jan 16th for Dec 2013'!#REF!,'[49]GL as of Jan 16th for Dec 2013'!#REF!</definedName>
    <definedName name="fdfsfkjsd" localSheetId="8">'[49]GL as of Jan 16th for Dec 2013'!#REF!,'[49]GL as of Jan 16th for Dec 2013'!#REF!,'[49]GL as of Jan 16th for Dec 2013'!#REF!</definedName>
    <definedName name="fdfsfkjsd" localSheetId="9">'[49]GL as of Jan 16th for Dec 2013'!#REF!,'[49]GL as of Jan 16th for Dec 2013'!#REF!,'[49]GL as of Jan 16th for Dec 2013'!#REF!</definedName>
    <definedName name="fdfsfkjsd" localSheetId="10">'[49]GL as of Jan 16th for Dec 2013'!#REF!,'[49]GL as of Jan 16th for Dec 2013'!#REF!,'[49]GL as of Jan 16th for Dec 2013'!#REF!</definedName>
    <definedName name="fdfsfkjsd" localSheetId="11">'[49]GL as of Jan 16th for Dec 2013'!#REF!,'[49]GL as of Jan 16th for Dec 2013'!#REF!,'[49]GL as of Jan 16th for Dec 2013'!#REF!</definedName>
    <definedName name="fdfsfkjsd">'[49]GL as of Jan 16th for Dec 2013'!#REF!,'[49]GL as of Jan 16th for Dec 2013'!#REF!,'[49]GL as of Jan 16th for Dec 2013'!#REF!</definedName>
    <definedName name="Field_Criteria">[8]Lookup!$J$17:$J$18</definedName>
    <definedName name="Fiscal_Year">'[1]O-1 Other Payables'!$B$6</definedName>
    <definedName name="FISYEAR" localSheetId="12">#REF!</definedName>
    <definedName name="FISYEAR" localSheetId="7">#REF!</definedName>
    <definedName name="FISYEAR" localSheetId="8">#REF!</definedName>
    <definedName name="FISYEAR" localSheetId="9">#REF!</definedName>
    <definedName name="FISYEAR" localSheetId="10">#REF!</definedName>
    <definedName name="FISYEAR" localSheetId="11">#REF!</definedName>
    <definedName name="FISYEAR">#REF!</definedName>
    <definedName name="Fixed_Assets">#REF!</definedName>
    <definedName name="Full_Print" localSheetId="12">#REF!</definedName>
    <definedName name="Full_Print" localSheetId="8">#REF!</definedName>
    <definedName name="Full_Print" localSheetId="9">#REF!</definedName>
    <definedName name="Full_Print" localSheetId="10">#REF!</definedName>
    <definedName name="Full_Print" localSheetId="11">#REF!</definedName>
    <definedName name="Full_Print">#REF!</definedName>
    <definedName name="functions1" localSheetId="0">'[6]Regional Allocation (2015)'!$D$172:$F$172</definedName>
    <definedName name="functions1">'[7]Regional Allocation'!$D$172:$F$172</definedName>
    <definedName name="functions2" localSheetId="0">'[6]Regional Allocation (2015)'!$I$172:$J$172</definedName>
    <definedName name="functions2">'[7]Regional Allocation'!$I$172:$J$172</definedName>
    <definedName name="FutureIn">#REF!</definedName>
    <definedName name="fy">'[52]X-1-1'!$AG$2</definedName>
    <definedName name="GF_HA_Indus_2019">'[21]Revenue Greenfield'!$F$51</definedName>
    <definedName name="GF_Ha_RES_2019">'[21]Revenue Greenfield'!$F$50</definedName>
    <definedName name="gjg" hidden="1">#REF!</definedName>
    <definedName name="GLBU_Lookup">[8]Lookup!$Q$4:$Q$6</definedName>
    <definedName name="H1_Oth_Cur_Asset">'[1]O-1 Other Payables'!#REF!</definedName>
    <definedName name="HAnalysisType">'[53]Journal Entry'!#REF!</definedName>
    <definedName name="Header">#REF!</definedName>
    <definedName name="Header_Row" localSheetId="12">ROW(#REF!)</definedName>
    <definedName name="Header_Row" localSheetId="8">ROW(#REF!)</definedName>
    <definedName name="Header_Row" localSheetId="9">ROW(#REF!)</definedName>
    <definedName name="Header_Row" localSheetId="10">ROW(#REF!)</definedName>
    <definedName name="Header_Row" localSheetId="11">ROW(#REF!)</definedName>
    <definedName name="Header_Row">ROW(#REF!)</definedName>
    <definedName name="HLedger">'[53]Journal Entry'!#REF!</definedName>
    <definedName name="i" localSheetId="0">#REF!</definedName>
    <definedName name="i" localSheetId="1">#REF!</definedName>
    <definedName name="i" localSheetId="12">#REF!</definedName>
    <definedName name="i" localSheetId="8">#REF!</definedName>
    <definedName name="i" localSheetId="9">#REF!</definedName>
    <definedName name="i" localSheetId="10">#REF!</definedName>
    <definedName name="i" localSheetId="11">#REF!</definedName>
    <definedName name="i">#REF!</definedName>
    <definedName name="Int" localSheetId="12">#REF!</definedName>
    <definedName name="Int" localSheetId="8">#REF!</definedName>
    <definedName name="Int" localSheetId="9">#REF!</definedName>
    <definedName name="Int" localSheetId="10">#REF!</definedName>
    <definedName name="Int" localSheetId="11">#REF!</definedName>
    <definedName name="Int">#REF!</definedName>
    <definedName name="Int_Rate">[54]Model!$F$15</definedName>
    <definedName name="Intercompany">[52]Balance_Sheet!$D$305</definedName>
    <definedName name="Intercompany_1">#REF!</definedName>
    <definedName name="Interest_Rate" localSheetId="12">#REF!</definedName>
    <definedName name="Interest_Rate" localSheetId="8">#REF!</definedName>
    <definedName name="Interest_Rate" localSheetId="9">#REF!</definedName>
    <definedName name="Interest_Rate" localSheetId="10">#REF!</definedName>
    <definedName name="Interest_Rate" localSheetId="11">#REF!</definedName>
    <definedName name="Interest_Rate">#REF!</definedName>
    <definedName name="Inventories_Mat_Sup">#REF!</definedName>
    <definedName name="Investments">#REF!</definedName>
    <definedName name="IS_O" localSheetId="12">'[50]GL as of Jan 16th for Dec 2013'!#REF!</definedName>
    <definedName name="IS_O" localSheetId="7">'[49]GL as of Jan 16th for Dec 2013'!#REF!</definedName>
    <definedName name="IS_O" localSheetId="8">'[50]GL as of Jan 16th for Dec 2013'!#REF!</definedName>
    <definedName name="IS_O" localSheetId="9">'[50]GL as of Jan 16th for Dec 2013'!#REF!</definedName>
    <definedName name="IS_O" localSheetId="10">'[50]GL as of Jan 16th for Dec 2013'!#REF!</definedName>
    <definedName name="IS_O" localSheetId="11">'[50]GL as of Jan 16th for Dec 2013'!#REF!</definedName>
    <definedName name="IS_O">'[50]GL as of Jan 16th for Dec 2013'!#REF!</definedName>
    <definedName name="IS_O_HIDE" localSheetId="0">'[50]GL as of Jan 16th for Dec 2013'!#REF!,'[50]GL as of Jan 16th for Dec 2013'!#REF!,'[50]GL as of Jan 16th for Dec 2013'!#REF!</definedName>
    <definedName name="IS_O_HIDE" localSheetId="1">'[50]GL as of Jan 16th for Dec 2013'!#REF!,'[50]GL as of Jan 16th for Dec 2013'!#REF!,'[50]GL as of Jan 16th for Dec 2013'!#REF!</definedName>
    <definedName name="IS_O_HIDE" localSheetId="12">'[50]GL as of Jan 16th for Dec 2013'!#REF!,'[50]GL as of Jan 16th for Dec 2013'!#REF!,'[50]GL as of Jan 16th for Dec 2013'!#REF!</definedName>
    <definedName name="IS_O_HIDE" localSheetId="7">'[49]GL as of Jan 16th for Dec 2013'!#REF!,'[49]GL as of Jan 16th for Dec 2013'!#REF!,'[49]GL as of Jan 16th for Dec 2013'!#REF!</definedName>
    <definedName name="IS_O_HIDE" localSheetId="8">'[50]GL as of Jan 16th for Dec 2013'!#REF!,'[50]GL as of Jan 16th for Dec 2013'!#REF!,'[50]GL as of Jan 16th for Dec 2013'!#REF!</definedName>
    <definedName name="IS_O_HIDE" localSheetId="9">'[50]GL as of Jan 16th for Dec 2013'!#REF!,'[50]GL as of Jan 16th for Dec 2013'!#REF!,'[50]GL as of Jan 16th for Dec 2013'!#REF!</definedName>
    <definedName name="IS_O_HIDE" localSheetId="10">'[50]GL as of Jan 16th for Dec 2013'!#REF!,'[50]GL as of Jan 16th for Dec 2013'!#REF!,'[50]GL as of Jan 16th for Dec 2013'!#REF!</definedName>
    <definedName name="IS_O_HIDE" localSheetId="11">'[50]GL as of Jan 16th for Dec 2013'!#REF!,'[50]GL as of Jan 16th for Dec 2013'!#REF!,'[50]GL as of Jan 16th for Dec 2013'!#REF!</definedName>
    <definedName name="IS_O_HIDE">'[50]GL as of Jan 16th for Dec 2013'!#REF!,'[50]GL as of Jan 16th for Dec 2013'!#REF!,'[50]GL as of Jan 16th for Dec 2013'!#REF!</definedName>
    <definedName name="j" localSheetId="0">#REF!</definedName>
    <definedName name="j" localSheetId="1">#REF!</definedName>
    <definedName name="j" localSheetId="12">#REF!</definedName>
    <definedName name="j" localSheetId="8">#REF!</definedName>
    <definedName name="j" localSheetId="9">#REF!</definedName>
    <definedName name="j" localSheetId="10">#REF!</definedName>
    <definedName name="j" localSheetId="11">#REF!</definedName>
    <definedName name="j">#REF!</definedName>
    <definedName name="J1_Long_Term_Receiv" localSheetId="0">'[1]O-1 Other Payables'!#REF!</definedName>
    <definedName name="J1_Long_Term_Receiv" localSheetId="1">'[1]O-1 Other Payables'!#REF!</definedName>
    <definedName name="J1_Long_Term_Receiv">'[1]O-1 Other Payables'!#REF!</definedName>
    <definedName name="klk" localSheetId="12">#REF!</definedName>
    <definedName name="klk" localSheetId="7">#REF!</definedName>
    <definedName name="klk" localSheetId="8">#REF!</definedName>
    <definedName name="klk" localSheetId="9">#REF!</definedName>
    <definedName name="klk" localSheetId="10">#REF!</definedName>
    <definedName name="klk" localSheetId="11">#REF!</definedName>
    <definedName name="klk">#REF!</definedName>
    <definedName name="l" localSheetId="0">[43]loan!#REF!</definedName>
    <definedName name="l" localSheetId="12">[43]loan!#REF!</definedName>
    <definedName name="l" localSheetId="8">[43]loan!#REF!</definedName>
    <definedName name="l" localSheetId="9">[43]loan!#REF!</definedName>
    <definedName name="l" localSheetId="10">[43]loan!#REF!</definedName>
    <definedName name="l" localSheetId="11">[43]loan!#REF!</definedName>
    <definedName name="l">[43]loan!#REF!</definedName>
    <definedName name="Land_Held_Mun">#REF!</definedName>
    <definedName name="Land_Inventory">#REF!</definedName>
    <definedName name="Last_Row" localSheetId="3">IF([0]!Values_Entered,[55]!Header_Row+[56]!_2000_stmcap,[55]!Header_Row)</definedName>
    <definedName name="Last_Row" localSheetId="4">IF([0]!Values_Entered,[55]!Header_Row+[56]!_2000_stmcap,[55]!Header_Row)</definedName>
    <definedName name="Last_Row" localSheetId="0">IF('Read me'!Values_Entered,Header_Row+'Read me'!Number_of_Payments,Header_Row)</definedName>
    <definedName name="Last_Row" localSheetId="1">IF('Tab 1 - Summary'!Values_Entered,Header_Row+[56]!_2000_stmcap,Header_Row)</definedName>
    <definedName name="Last_Row" localSheetId="12">#N/A</definedName>
    <definedName name="Last_Row" localSheetId="14">IF('Tab 12 - Land Absorption'!Values_Entered,Header_Row+[56]!_2000_stmcap,Header_Row)</definedName>
    <definedName name="Last_Row" localSheetId="2">IF([0]!Values_Entered,[55]!Header_Row+[56]!_2000_stmcap,[55]!Header_Row)</definedName>
    <definedName name="Last_Row" localSheetId="5">IF([0]!Values_Entered,[55]!Header_Row+[56]!_2000_stmcap,[55]!Header_Row)</definedName>
    <definedName name="Last_Row" localSheetId="8">#N/A</definedName>
    <definedName name="Last_Row" localSheetId="9">#N/A</definedName>
    <definedName name="Last_Row" localSheetId="10">#N/A</definedName>
    <definedName name="Last_Row" localSheetId="11">#N/A</definedName>
    <definedName name="Last_Row">IF(Values_Entered,Header_Row+[56]!_2000_stmcap,Header_Row)</definedName>
    <definedName name="LastFileName" localSheetId="0">[8]Lookup!#REF!</definedName>
    <definedName name="LastFileName" localSheetId="1">[8]Lookup!#REF!</definedName>
    <definedName name="LastFileName" localSheetId="12">[8]Lookup!#REF!</definedName>
    <definedName name="LastFileName" localSheetId="14">[8]Lookup!#REF!</definedName>
    <definedName name="LastFileName" localSheetId="8">[8]Lookup!#REF!</definedName>
    <definedName name="LastFileName" localSheetId="9">[8]Lookup!#REF!</definedName>
    <definedName name="LastFileName" localSheetId="10">[8]Lookup!#REF!</definedName>
    <definedName name="LastFileName" localSheetId="11">[8]Lookup!#REF!</definedName>
    <definedName name="LastFileName">[8]Lookup!#REF!</definedName>
    <definedName name="Layout">[57]Sheet1!$AA$16</definedName>
    <definedName name="Ledger_Lookup">[8]Lookup!$J$4:$J$8</definedName>
    <definedName name="Likelihood_Ratings">'[51]Rating Scales'!$J$6:$K$10</definedName>
    <definedName name="Likelihood_Scale">'[51]Rating Scales'!$J$6:$J$10</definedName>
    <definedName name="Linked_Cell">[2]Sheet2!$B$1</definedName>
    <definedName name="Loan_Amount" localSheetId="0">#REF!</definedName>
    <definedName name="Loan_Amount" localSheetId="1">#REF!</definedName>
    <definedName name="Loan_Amount" localSheetId="12">#REF!</definedName>
    <definedName name="Loan_Amount" localSheetId="8">#REF!</definedName>
    <definedName name="Loan_Amount" localSheetId="9">#REF!</definedName>
    <definedName name="Loan_Amount" localSheetId="10">#REF!</definedName>
    <definedName name="Loan_Amount" localSheetId="11">#REF!</definedName>
    <definedName name="Loan_Amount">#REF!</definedName>
    <definedName name="Loan_Start" localSheetId="12">#REF!</definedName>
    <definedName name="Loan_Start" localSheetId="8">#REF!</definedName>
    <definedName name="Loan_Start" localSheetId="9">#REF!</definedName>
    <definedName name="Loan_Start" localSheetId="10">#REF!</definedName>
    <definedName name="Loan_Start" localSheetId="11">#REF!</definedName>
    <definedName name="Loan_Start">#REF!</definedName>
    <definedName name="Loan_Years" localSheetId="12">#REF!</definedName>
    <definedName name="Loan_Years" localSheetId="8">#REF!</definedName>
    <definedName name="Loan_Years" localSheetId="9">#REF!</definedName>
    <definedName name="Loan_Years" localSheetId="10">#REF!</definedName>
    <definedName name="Loan_Years" localSheetId="11">#REF!</definedName>
    <definedName name="Loan_Years">#REF!</definedName>
    <definedName name="Long_Term_Debt">#REF!</definedName>
    <definedName name="Long_Term_Receivables">#REF!</definedName>
    <definedName name="m" localSheetId="12">#REF!</definedName>
    <definedName name="m" localSheetId="8">#REF!</definedName>
    <definedName name="m" localSheetId="9">#REF!</definedName>
    <definedName name="m" localSheetId="10">#REF!</definedName>
    <definedName name="m" localSheetId="11">#REF!</definedName>
    <definedName name="m">#REF!</definedName>
    <definedName name="M1_Oth_LT_Assets1">'[1]O-1 Other Payables'!#REF!</definedName>
    <definedName name="M2_Oth_LT_Assets2">'[1]O-1 Other Payables'!#REF!</definedName>
    <definedName name="Max_Point">'[58]Weighting Scale'!$D$6</definedName>
    <definedName name="meter_size">[9]Dashboard!$B$101:$B$107</definedName>
    <definedName name="n" localSheetId="0">'[10]Ver 1 - Loan beg 2009'!#REF!</definedName>
    <definedName name="n" localSheetId="1">'[10]Ver 1 - Loan beg 2009'!#REF!</definedName>
    <definedName name="n" localSheetId="12">'[10]Ver 1 - Loan beg 2009'!#REF!</definedName>
    <definedName name="n" localSheetId="8">'[10]Ver 1 - Loan beg 2009'!#REF!</definedName>
    <definedName name="n" localSheetId="9">'[10]Ver 1 - Loan beg 2009'!#REF!</definedName>
    <definedName name="n" localSheetId="10">'[10]Ver 1 - Loan beg 2009'!#REF!</definedName>
    <definedName name="n" localSheetId="11">'[10]Ver 1 - Loan beg 2009'!#REF!</definedName>
    <definedName name="n">'[10]Ver 1 - Loan beg 2009'!#REF!</definedName>
    <definedName name="ncf">[9]Dashboard!$C$89:$L$89</definedName>
    <definedName name="Need_Owners">'[51]Rating Scales'!$M$23:$M$29</definedName>
    <definedName name="New" localSheetId="12">#REF!</definedName>
    <definedName name="New" localSheetId="7">#REF!</definedName>
    <definedName name="New" localSheetId="8">#REF!</definedName>
    <definedName name="New" localSheetId="9">#REF!</definedName>
    <definedName name="New" localSheetId="10">#REF!</definedName>
    <definedName name="New" localSheetId="11">#REF!</definedName>
    <definedName name="New">#REF!</definedName>
    <definedName name="NovemberOL" comment="j" localSheetId="12">'[59]AFE Jan 2013'!#REF!</definedName>
    <definedName name="NovemberOL" comment="j" localSheetId="7">'[59]AFE Jan 2013'!#REF!</definedName>
    <definedName name="NovemberOL" comment="j" localSheetId="8">'[59]AFE Jan 2013'!#REF!</definedName>
    <definedName name="NovemberOL" comment="j" localSheetId="9">'[59]AFE Jan 2013'!#REF!</definedName>
    <definedName name="NovemberOL" comment="j" localSheetId="10">'[59]AFE Jan 2013'!#REF!</definedName>
    <definedName name="NovemberOL" comment="j" localSheetId="11">'[59]AFE Jan 2013'!#REF!</definedName>
    <definedName name="NovemberOL" comment="j">'[59]AFE Jan 2013'!#REF!</definedName>
    <definedName name="Num_Pmt_Per_Year" localSheetId="0">#REF!</definedName>
    <definedName name="Num_Pmt_Per_Year" localSheetId="1">#REF!</definedName>
    <definedName name="Num_Pmt_Per_Year" localSheetId="12">#REF!</definedName>
    <definedName name="Num_Pmt_Per_Year" localSheetId="8">#REF!</definedName>
    <definedName name="Num_Pmt_Per_Year" localSheetId="9">#REF!</definedName>
    <definedName name="Num_Pmt_Per_Year" localSheetId="10">#REF!</definedName>
    <definedName name="Num_Pmt_Per_Year" localSheetId="11">#REF!</definedName>
    <definedName name="Num_Pmt_Per_Year">#REF!</definedName>
    <definedName name="Number_of_Payments" localSheetId="0">MATCH(0.01,End_Bal,-1)+1</definedName>
    <definedName name="Number_of_Payments" localSheetId="1">MATCH(0.01,End_Bal,-1)+1</definedName>
    <definedName name="Number_of_Payments" localSheetId="12">MATCH(0.01,'Tab 10 - Pine'!End_Bal,-1)+1</definedName>
    <definedName name="Number_of_Payments" localSheetId="14">MATCH(0.01,End_Bal,-1)+1</definedName>
    <definedName name="Number_of_Payments" localSheetId="8">MATCH(0.01,'Tab 6 - Bow'!End_Bal,-1)+1</definedName>
    <definedName name="Number_of_Payments" localSheetId="9">MATCH(0.01,'Tab 7 - Nose'!End_Bal,-1)+1</definedName>
    <definedName name="Number_of_Payments" localSheetId="10">MATCH(0.01,'Tab 8 - Shepard'!End_Bal,-1)+1</definedName>
    <definedName name="Number_of_Payments" localSheetId="11">MATCH(0.01,'Tab 9 - Fish'!End_Bal,-1)+1</definedName>
    <definedName name="Number_of_Payments">MATCH(0.01,End_Bal,-1)+1</definedName>
    <definedName name="Nvs">40077.4082060185</definedName>
    <definedName name="NvsAnswerCol">"'[DR_2819534_2896289_RESERVES_CITYC_2007-12-31.xls]COCGL_NVSDRILL_JRNLS'!$A$7:$A$26"</definedName>
    <definedName name="NvsASD" localSheetId="0">"V2007-12-31"</definedName>
    <definedName name="NvsASD">"V2013-12-31"</definedName>
    <definedName name="NvsAutoDrillOk">"VN"</definedName>
    <definedName name="NvsElapsedTime" localSheetId="0">0.0000115740767796524</definedName>
    <definedName name="NvsElapsedTime">0.000787037031841464</definedName>
    <definedName name="NvsEndTime" localSheetId="0">39456.7439583333</definedName>
    <definedName name="NvsEndTime">41066.0906712963</definedName>
    <definedName name="NvsInstLang">"VENG"</definedName>
    <definedName name="NvsInstSpec" localSheetId="0">"%,FCHARTFIELD1,TCOC_CORP_PROG_ACTV,NA_P840"</definedName>
    <definedName name="NvsInstSpec">"%,FDEPTID,TCOC_DEPTID,N90988"</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 localSheetId="0">"%,X,RZF..,CNF.."</definedName>
    <definedName name="NvsNplSpec">"%,X,RZF..R00B,CZF..Comma [0]"</definedName>
    <definedName name="NvsPanelBusUnit">"V"</definedName>
    <definedName name="NvsPanelEffdt" localSheetId="0">"V2006-08-10"</definedName>
    <definedName name="NvsPanelEffdt">"V2049-12-31"</definedName>
    <definedName name="NvsPanelSetid">"VSHARE"</definedName>
    <definedName name="NvsParentRef">"'[RESERVES_CITYC_2007-12-31.xls]Reserves'!$R$19"</definedName>
    <definedName name="NvsReqBU">"VCITYC"</definedName>
    <definedName name="NvsReqBUOnly">"VY"</definedName>
    <definedName name="NvsStyleNme">"844_nVision_stylesheet.xnv"</definedName>
    <definedName name="NvsTransLed">"VN"</definedName>
    <definedName name="NvsTreeASD" localSheetId="0">"V2008-01-01"</definedName>
    <definedName name="NvsTreeASD">"V2013-12-31"</definedName>
    <definedName name="NvsValTbl.ACCOUNT">"GL_ACCOUNT_TBL"</definedName>
    <definedName name="NvsValTbl.BUSINESS_UNIT">"BUS_UNIT_TBL_GL"</definedName>
    <definedName name="NvsValTbl.CC_FUNDING">"CC_PRODUCT_TBL"</definedName>
    <definedName name="NvsValTbl.CHARTFIELD1">"CHARTFIELD1_TBL"</definedName>
    <definedName name="NvsValTbl.CHARTFIELD2">"CHARTFIELD2_TBL"</definedName>
    <definedName name="NvsValTbl.CURRENCY_CD">"CURRENCY_CD_TBL"</definedName>
    <definedName name="NvsValTbl.DEPTID">"DEPT_TBL"</definedName>
    <definedName name="NvsValTbl.FISCAL_YEAR" localSheetId="0">"BD_CAL_FY_VW"</definedName>
    <definedName name="NvsValTbl.FISCAL_YEAR">"CAL_DETP_FY_VW"</definedName>
    <definedName name="NvsValTbl.FUND_CODE">"FUND_TBL"</definedName>
    <definedName name="NvsValTbl.PRODUCT">"PRODUCT_TBL"</definedName>
    <definedName name="NvsValTbl.PROJECT_ID">"PROJECT"</definedName>
    <definedName name="NvsValTbl.SCENARIO">"BD_SCENARIO_TBL"</definedName>
    <definedName name="NvsValTbl.STATISTICS_CODE">"STAT_TBL"</definedName>
    <definedName name="o" localSheetId="0">#REF!</definedName>
    <definedName name="o" localSheetId="1">#REF!</definedName>
    <definedName name="o" localSheetId="12">#REF!</definedName>
    <definedName name="o" localSheetId="8">#REF!</definedName>
    <definedName name="o" localSheetId="9">#REF!</definedName>
    <definedName name="o" localSheetId="10">#REF!</definedName>
    <definedName name="o" localSheetId="11">#REF!</definedName>
    <definedName name="o">#REF!</definedName>
    <definedName name="Obligations">#REF!</definedName>
    <definedName name="Opening_Balance_2014">[54]Model!$F$14</definedName>
    <definedName name="OPR" localSheetId="12">#REF!</definedName>
    <definedName name="OPR" localSheetId="7">#REF!</definedName>
    <definedName name="OPR" localSheetId="8">#REF!</definedName>
    <definedName name="OPR" localSheetId="9">#REF!</definedName>
    <definedName name="OPR" localSheetId="10">#REF!</definedName>
    <definedName name="OPR" localSheetId="11">#REF!</definedName>
    <definedName name="OPR">#REF!</definedName>
    <definedName name="OprID">[60]Sheet1!$AA$15</definedName>
    <definedName name="Other_Current_Assets" localSheetId="0">#REF!</definedName>
    <definedName name="Other_Current_Assets" localSheetId="1">#REF!</definedName>
    <definedName name="Other_Current_Assets" localSheetId="12">#REF!</definedName>
    <definedName name="Other_Current_Assets" localSheetId="14">#REF!</definedName>
    <definedName name="Other_Current_Assets" localSheetId="8">#REF!</definedName>
    <definedName name="Other_Current_Assets" localSheetId="9">#REF!</definedName>
    <definedName name="Other_Current_Assets" localSheetId="10">#REF!</definedName>
    <definedName name="Other_Current_Assets" localSheetId="11">#REF!</definedName>
    <definedName name="Other_Current_Assets">#REF!</definedName>
    <definedName name="Other_Long_Term_Assets" localSheetId="0">#REF!</definedName>
    <definedName name="Other_Long_Term_Assets" localSheetId="1">#REF!</definedName>
    <definedName name="Other_Long_Term_Assets" localSheetId="12">#REF!</definedName>
    <definedName name="Other_Long_Term_Assets" localSheetId="14">#REF!</definedName>
    <definedName name="Other_Long_Term_Assets" localSheetId="8">#REF!</definedName>
    <definedName name="Other_Long_Term_Assets" localSheetId="9">#REF!</definedName>
    <definedName name="Other_Long_Term_Assets" localSheetId="10">#REF!</definedName>
    <definedName name="Other_Long_Term_Assets" localSheetId="11">#REF!</definedName>
    <definedName name="Other_Long_Term_Assets">#REF!</definedName>
    <definedName name="Other_Receivables" localSheetId="0">#REF!</definedName>
    <definedName name="Other_Receivables" localSheetId="1">#REF!</definedName>
    <definedName name="Other_Receivables" localSheetId="12">#REF!</definedName>
    <definedName name="Other_Receivables" localSheetId="14">#REF!</definedName>
    <definedName name="Other_Receivables" localSheetId="8">#REF!</definedName>
    <definedName name="Other_Receivables" localSheetId="9">#REF!</definedName>
    <definedName name="Other_Receivables" localSheetId="10">#REF!</definedName>
    <definedName name="Other_Receivables" localSheetId="11">#REF!</definedName>
    <definedName name="Other_Receivables">#REF!</definedName>
    <definedName name="overrides" localSheetId="0">[6]Dashboard!$C$25:$G$38</definedName>
    <definedName name="overrides">[7]Dashboard!$C$25:$H$38</definedName>
    <definedName name="P" localSheetId="0">'[10]Ver 1 - Loan beg 2009'!#REF!</definedName>
    <definedName name="P" localSheetId="1">'[10]Ver 1 - Loan beg 2009'!#REF!</definedName>
    <definedName name="P" localSheetId="12">'[10]Ver 1 - Loan beg 2009'!#REF!</definedName>
    <definedName name="P" localSheetId="8">'[10]Ver 1 - Loan beg 2009'!#REF!</definedName>
    <definedName name="P" localSheetId="9">'[10]Ver 1 - Loan beg 2009'!#REF!</definedName>
    <definedName name="P" localSheetId="10">'[10]Ver 1 - Loan beg 2009'!#REF!</definedName>
    <definedName name="P" localSheetId="11">'[10]Ver 1 - Loan beg 2009'!#REF!</definedName>
    <definedName name="P">'[10]Ver 1 - Loan beg 2009'!#REF!</definedName>
    <definedName name="Pal_Workbook_GUID" hidden="1">"ZSQYUPYWIUQ1T7W87RPY5EB1"</definedName>
    <definedName name="Pay_Date" localSheetId="0">#REF!</definedName>
    <definedName name="Pay_Date" localSheetId="1">#REF!</definedName>
    <definedName name="Pay_Date" localSheetId="12">#REF!</definedName>
    <definedName name="Pay_Date" localSheetId="8">#REF!</definedName>
    <definedName name="Pay_Date" localSheetId="9">#REF!</definedName>
    <definedName name="Pay_Date" localSheetId="10">#REF!</definedName>
    <definedName name="Pay_Date" localSheetId="11">#REF!</definedName>
    <definedName name="Pay_Date">#REF!</definedName>
    <definedName name="Pay_Num" localSheetId="12">#REF!</definedName>
    <definedName name="Pay_Num" localSheetId="8">#REF!</definedName>
    <definedName name="Pay_Num" localSheetId="9">#REF!</definedName>
    <definedName name="Pay_Num" localSheetId="10">#REF!</definedName>
    <definedName name="Pay_Num" localSheetId="11">#REF!</definedName>
    <definedName name="Pay_Num">#REF!</definedName>
    <definedName name="Payment_Date" localSheetId="3">DATE(YEAR([55]!Loan_Start),MONTH([55]!Loan_Start)+[56]!_2000_stmcap,DAY([55]!Loan_Start))</definedName>
    <definedName name="Payment_Date" localSheetId="4">DATE(YEAR([55]!Loan_Start),MONTH([55]!Loan_Start)+[56]!_2000_stmcap,DAY([55]!Loan_Start))</definedName>
    <definedName name="Payment_Date" localSheetId="0">DATE(YEAR(Loan_Start),MONTH(Loan_Start)+Payment_Number,DAY(Loan_Start))</definedName>
    <definedName name="Payment_Date" localSheetId="1">DATE(YEAR(Loan_Start),MONTH(Loan_Start)+[56]!_2000_stmcap,DAY(Loan_Start))</definedName>
    <definedName name="Payment_Date" localSheetId="12">DATE(YEAR('Tab 10 - Pine'!Loan_Start),MONTH('Tab 10 - Pine'!Loan_Start)+[56]!_2000_stmcap,DAY('Tab 10 - Pine'!Loan_Start))</definedName>
    <definedName name="Payment_Date" localSheetId="14">DATE(YEAR(Loan_Start),MONTH(Loan_Start)+[56]!_2000_stmcap,DAY(Loan_Start))</definedName>
    <definedName name="Payment_Date" localSheetId="2">DATE(YEAR([55]!Loan_Start),MONTH([55]!Loan_Start)+[56]!_2000_stmcap,DAY([55]!Loan_Start))</definedName>
    <definedName name="Payment_Date" localSheetId="5">DATE(YEAR([55]!Loan_Start),MONTH([55]!Loan_Start)+[56]!_2000_stmcap,DAY([55]!Loan_Start))</definedName>
    <definedName name="Payment_Date" localSheetId="8">DATE(YEAR('Tab 6 - Bow'!Loan_Start),MONTH('Tab 6 - Bow'!Loan_Start)+[56]!_2000_stmcap,DAY('Tab 6 - Bow'!Loan_Start))</definedName>
    <definedName name="Payment_Date" localSheetId="9">DATE(YEAR('Tab 7 - Nose'!Loan_Start),MONTH('Tab 7 - Nose'!Loan_Start)+[56]!_2000_stmcap,DAY('Tab 7 - Nose'!Loan_Start))</definedName>
    <definedName name="Payment_Date" localSheetId="10">DATE(YEAR('Tab 8 - Shepard'!Loan_Start),MONTH('Tab 8 - Shepard'!Loan_Start)+[56]!_2000_stmcap,DAY('Tab 8 - Shepard'!Loan_Start))</definedName>
    <definedName name="Payment_Date" localSheetId="11">DATE(YEAR('Tab 9 - Fish'!Loan_Start),MONTH('Tab 9 - Fish'!Loan_Start)+[56]!_2000_stmcap,DAY('Tab 9 - Fish'!Loan_Start))</definedName>
    <definedName name="Payment_Date">DATE(YEAR(Loan_Start),MONTH(Loan_Start)+[56]!_2000_stmcap,DAY(Loan_Start))</definedName>
    <definedName name="PED" localSheetId="0">#REF!</definedName>
    <definedName name="PED" localSheetId="1">#REF!</definedName>
    <definedName name="PED" localSheetId="12">#REF!</definedName>
    <definedName name="PED" localSheetId="14">#REF!</definedName>
    <definedName name="PED" localSheetId="7">#REF!</definedName>
    <definedName name="PED" localSheetId="8">#REF!</definedName>
    <definedName name="PED" localSheetId="9">#REF!</definedName>
    <definedName name="PED" localSheetId="10">#REF!</definedName>
    <definedName name="PED" localSheetId="11">#REF!</definedName>
    <definedName name="PED">#REF!</definedName>
    <definedName name="Pmt" localSheetId="0">'[10]Ver 1 - Loan beg 2009'!#REF!</definedName>
    <definedName name="Pmt" localSheetId="1">'[10]Ver 1 - Loan beg 2009'!#REF!</definedName>
    <definedName name="Pmt" localSheetId="12">'[10]Ver 1 - Loan beg 2009'!#REF!</definedName>
    <definedName name="Pmt" localSheetId="14">'[10]Ver 1 - Loan beg 2009'!#REF!</definedName>
    <definedName name="Pmt" localSheetId="8">'[10]Ver 1 - Loan beg 2009'!#REF!</definedName>
    <definedName name="Pmt" localSheetId="9">'[10]Ver 1 - Loan beg 2009'!#REF!</definedName>
    <definedName name="Pmt" localSheetId="10">'[10]Ver 1 - Loan beg 2009'!#REF!</definedName>
    <definedName name="Pmt" localSheetId="11">'[10]Ver 1 - Loan beg 2009'!#REF!</definedName>
    <definedName name="Pmt">'[10]Ver 1 - Loan beg 2009'!#REF!</definedName>
    <definedName name="POLICE" localSheetId="0">'[1]O-1 Other Payables'!#REF!</definedName>
    <definedName name="POLICE" localSheetId="1">'[1]O-1 Other Payables'!#REF!</definedName>
    <definedName name="POLICE" localSheetId="12">'[1]O-1 Other Payables'!#REF!</definedName>
    <definedName name="POLICE" localSheetId="14">'[1]O-1 Other Payables'!#REF!</definedName>
    <definedName name="POLICE" localSheetId="8">'[1]O-1 Other Payables'!#REF!</definedName>
    <definedName name="POLICE" localSheetId="9">'[1]O-1 Other Payables'!#REF!</definedName>
    <definedName name="POLICE" localSheetId="10">'[1]O-1 Other Payables'!#REF!</definedName>
    <definedName name="POLICE" localSheetId="11">'[1]O-1 Other Payables'!#REF!</definedName>
    <definedName name="POLICE">'[1]O-1 Other Payables'!#REF!</definedName>
    <definedName name="Princ" localSheetId="0">#REF!</definedName>
    <definedName name="Princ" localSheetId="1">#REF!</definedName>
    <definedName name="Princ" localSheetId="12">#REF!</definedName>
    <definedName name="Princ" localSheetId="8">#REF!</definedName>
    <definedName name="Princ" localSheetId="9">#REF!</definedName>
    <definedName name="Princ" localSheetId="10">#REF!</definedName>
    <definedName name="Princ" localSheetId="11">#REF!</definedName>
    <definedName name="Princ">#REF!</definedName>
    <definedName name="_xlnm.Print_Area" localSheetId="0">'Read me'!$A$1:$C$15</definedName>
    <definedName name="_xlnm.Print_Area" localSheetId="7">'Tab 5 - Capital'!$A$3:$D$20</definedName>
    <definedName name="Print_Area_MI" localSheetId="0">#REF!</definedName>
    <definedName name="Print_Area_MI" localSheetId="1">#REF!</definedName>
    <definedName name="Print_Area_MI" localSheetId="12">#REF!</definedName>
    <definedName name="Print_Area_MI" localSheetId="8">#REF!</definedName>
    <definedName name="Print_Area_MI" localSheetId="9">#REF!</definedName>
    <definedName name="Print_Area_MI" localSheetId="10">#REF!</definedName>
    <definedName name="Print_Area_MI" localSheetId="11">#REF!</definedName>
    <definedName name="Print_Area_MI">#REF!</definedName>
    <definedName name="Print_Area_Reset" localSheetId="3">OFFSET([55]!Full_Print,0,0,capacity15!Last_Row)</definedName>
    <definedName name="Print_Area_Reset" localSheetId="4">OFFSET([55]!Full_Print,0,0,capacity25!Last_Row)</definedName>
    <definedName name="Print_Area_Reset" localSheetId="0">OFFSET(Full_Print,0,0,'Read me'!Last_Row)</definedName>
    <definedName name="Print_Area_Reset" localSheetId="1">OFFSET(Full_Print,0,0,'Tab 1 - Summary'!Last_Row)</definedName>
    <definedName name="Print_Area_Reset" localSheetId="12">OFFSET('Tab 10 - Pine'!Full_Print,0,0,'Tab 10 - Pine'!Last_Row)</definedName>
    <definedName name="Print_Area_Reset" localSheetId="14">OFFSET(Full_Print,0,0,'Tab 12 - Land Absorption'!Last_Row)</definedName>
    <definedName name="Print_Area_Reset" localSheetId="2">OFFSET([55]!Full_Print,0,0,'Tab 2 - Citywide'!Last_Row)</definedName>
    <definedName name="Print_Area_Reset" localSheetId="5">OFFSET([55]!Full_Print,0,0,'Tab 3 - Catchment'!Last_Row)</definedName>
    <definedName name="Print_Area_Reset" localSheetId="8">OFFSET('Tab 6 - Bow'!Full_Print,0,0,'Tab 6 - Bow'!Last_Row)</definedName>
    <definedName name="Print_Area_Reset" localSheetId="9">OFFSET('Tab 7 - Nose'!Full_Print,0,0,'Tab 7 - Nose'!Last_Row)</definedName>
    <definedName name="Print_Area_Reset" localSheetId="10">OFFSET('Tab 8 - Shepard'!Full_Print,0,0,'Tab 8 - Shepard'!Last_Row)</definedName>
    <definedName name="Print_Area_Reset" localSheetId="11">OFFSET('Tab 9 - Fish'!Full_Print,0,0,'Tab 9 - Fish'!Last_Row)</definedName>
    <definedName name="Print_Area_Reset">OFFSET(Full_Print,0,0,Last_Row)</definedName>
    <definedName name="_xlnm.Print_Titles" localSheetId="7">'Tab 5 - Capital'!$1:$5</definedName>
    <definedName name="Print_Titles_MI" localSheetId="0">#REF!,#REF!</definedName>
    <definedName name="Print_Titles_MI" localSheetId="12">'[44]pop&amp;infl'!#REF!,'[44]pop&amp;infl'!$B$1:$B$65536</definedName>
    <definedName name="Print_Titles_MI" localSheetId="7">'[44]pop&amp;infl'!#REF!,'[44]pop&amp;infl'!$B$1:$B$65536</definedName>
    <definedName name="Print_Titles_MI" localSheetId="8">'[44]pop&amp;infl'!#REF!,'[44]pop&amp;infl'!$B$1:$B$65536</definedName>
    <definedName name="Print_Titles_MI" localSheetId="9">'[44]pop&amp;infl'!#REF!,'[44]pop&amp;infl'!$B$1:$B$65536</definedName>
    <definedName name="Print_Titles_MI" localSheetId="10">'[44]pop&amp;infl'!#REF!,'[44]pop&amp;infl'!$B$1:$B$65536</definedName>
    <definedName name="Print_Titles_MI" localSheetId="11">'[44]pop&amp;infl'!#REF!,'[44]pop&amp;infl'!$B$1:$B$65536</definedName>
    <definedName name="Print_Titles_MI">'[44]pop&amp;infl'!#REF!,'[44]pop&amp;infl'!$B$1:$B$65536</definedName>
    <definedName name="Product_Lookup">[8]Lookup!$AA$4:$AA$21</definedName>
    <definedName name="progname">[61]Balance_Sheet!#REF!</definedName>
    <definedName name="projection_per">[9]Dashboard!$C$84:$L$84</definedName>
    <definedName name="Provision_Site">#REF!</definedName>
    <definedName name="Q1_Senior_Govt_Payable">'[1]O-1 Other Payables'!#REF!</definedName>
    <definedName name="Q2_Senior_Govt_Payable2">'[1]O-1 Other Payables'!#REF!</definedName>
    <definedName name="rate_increase" localSheetId="0">[6]Dashboard!$C$13:$G$13</definedName>
    <definedName name="rate_increase">[7]Dashboard!$C$13:$H$13</definedName>
    <definedName name="Rate_WSCL_2019">'[21]Revenue Greenfield'!$F$4</definedName>
    <definedName name="Rate_WTP_2019">'[21]Revenue Greenfield'!$F$7</definedName>
    <definedName name="Rate_WWTP_2019">'[21]Revenue Greenfield'!$F$3</definedName>
    <definedName name="RateHigh" localSheetId="12">#REF!</definedName>
    <definedName name="RateHigh" localSheetId="7">#REF!</definedName>
    <definedName name="RateHigh" localSheetId="8">#REF!</definedName>
    <definedName name="RateHigh" localSheetId="9">#REF!</definedName>
    <definedName name="RateHigh" localSheetId="10">#REF!</definedName>
    <definedName name="RateHigh" localSheetId="11">#REF!</definedName>
    <definedName name="RateHigh">#REF!</definedName>
    <definedName name="RateLow" localSheetId="12">#REF!</definedName>
    <definedName name="RateLow" localSheetId="7">#REF!</definedName>
    <definedName name="RateLow" localSheetId="8">#REF!</definedName>
    <definedName name="RateLow" localSheetId="9">#REF!</definedName>
    <definedName name="RateLow" localSheetId="10">#REF!</definedName>
    <definedName name="RateLow" localSheetId="11">#REF!</definedName>
    <definedName name="RateLow">#REF!</definedName>
    <definedName name="Relative_Year_Paid" localSheetId="0">'[4]Rcvd 2012-2014 AA'!$I$2:$I$2194</definedName>
    <definedName name="Relative_Year_Paid" localSheetId="1">'[4]Rcvd 2012-2014 AA'!$I$2:$I$2194</definedName>
    <definedName name="Relative_Year_Paid">'[5]Rcvd 2012-2014 AA'!$I$2:$I$2194</definedName>
    <definedName name="Relative_Year_Paid_NoDrain" localSheetId="0">'[4]2012-2014 AA NO DRAINAGE'!$I$2:$I$1727</definedName>
    <definedName name="Relative_Year_Paid_NoDrain" localSheetId="1">'[4]2012-2014 AA NO DRAINAGE'!$I$2:$I$1727</definedName>
    <definedName name="Relative_Year_Paid_NoDrain">'[5]2012-2014 AA NO DRAINAGE'!$I$2:$I$1727</definedName>
    <definedName name="revenue_existing">[9]Dashboard!$C$86:$L$86</definedName>
    <definedName name="revenue_increase">[9]Dashboard!$C$87:$L$87</definedName>
    <definedName name="RID">'[52]X-1-1'!#REF!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ot_Cause">'[51]Rating Scales'!$R$6:$R$37</definedName>
    <definedName name="Row" localSheetId="7">#REF!</definedName>
    <definedName name="rr" localSheetId="0">'[10]Ver 1 - Loan beg 2009'!#REF!</definedName>
    <definedName name="rr" localSheetId="1">'[10]Ver 1 - Loan beg 2009'!#REF!</definedName>
    <definedName name="rr" localSheetId="12">'[10]Ver 1 - Loan beg 2009'!#REF!</definedName>
    <definedName name="rr" localSheetId="8">'[10]Ver 1 - Loan beg 2009'!#REF!</definedName>
    <definedName name="rr" localSheetId="9">'[10]Ver 1 - Loan beg 2009'!#REF!</definedName>
    <definedName name="rr" localSheetId="10">'[10]Ver 1 - Loan beg 2009'!#REF!</definedName>
    <definedName name="rr" localSheetId="11">'[10]Ver 1 - Loan beg 2009'!#REF!</definedName>
    <definedName name="rr">'[10]Ver 1 - Loan beg 2009'!#REF!</definedName>
    <definedName name="s" localSheetId="0">#REF!</definedName>
    <definedName name="s" localSheetId="1">#REF!</definedName>
    <definedName name="s" localSheetId="12">#REF!</definedName>
    <definedName name="s" localSheetId="8">#REF!</definedName>
    <definedName name="s" localSheetId="9">#REF!</definedName>
    <definedName name="s" localSheetId="10">#REF!</definedName>
    <definedName name="s" localSheetId="11">#REF!</definedName>
    <definedName name="s">#REF!</definedName>
    <definedName name="S1_Deferred_Revenue" localSheetId="0">'[1]O-1 Other Payables'!#REF!</definedName>
    <definedName name="S1_Deferred_Revenue" localSheetId="1">'[1]O-1 Other Payables'!#REF!</definedName>
    <definedName name="S1_Deferred_Revenue">'[1]O-1 Other Payables'!#REF!</definedName>
    <definedName name="Scenario_Lookup">[8]Lookup!$Y$4</definedName>
    <definedName name="Sched_Pay" localSheetId="0">#REF!</definedName>
    <definedName name="Sched_Pay" localSheetId="1">#REF!</definedName>
    <definedName name="Sched_Pay" localSheetId="12">#REF!</definedName>
    <definedName name="Sched_Pay" localSheetId="8">#REF!</definedName>
    <definedName name="Sched_Pay" localSheetId="9">#REF!</definedName>
    <definedName name="Sched_Pay" localSheetId="10">#REF!</definedName>
    <definedName name="Sched_Pay" localSheetId="11">#REF!</definedName>
    <definedName name="Sched_Pay">#REF!</definedName>
    <definedName name="Scheduled_Extra_Payments" localSheetId="12">#REF!</definedName>
    <definedName name="Scheduled_Extra_Payments" localSheetId="8">#REF!</definedName>
    <definedName name="Scheduled_Extra_Payments" localSheetId="9">#REF!</definedName>
    <definedName name="Scheduled_Extra_Payments" localSheetId="10">#REF!</definedName>
    <definedName name="Scheduled_Extra_Payments" localSheetId="11">#REF!</definedName>
    <definedName name="Scheduled_Extra_Payments">#REF!</definedName>
    <definedName name="Scheduled_Interest_Rate" localSheetId="12">#REF!</definedName>
    <definedName name="Scheduled_Interest_Rate" localSheetId="8">#REF!</definedName>
    <definedName name="Scheduled_Interest_Rate" localSheetId="9">#REF!</definedName>
    <definedName name="Scheduled_Interest_Rate" localSheetId="10">#REF!</definedName>
    <definedName name="Scheduled_Interest_Rate" localSheetId="11">#REF!</definedName>
    <definedName name="Scheduled_Interest_Rate">#REF!</definedName>
    <definedName name="Scheduled_Monthly_Payment" localSheetId="12">#REF!</definedName>
    <definedName name="Scheduled_Monthly_Payment" localSheetId="8">#REF!</definedName>
    <definedName name="Scheduled_Monthly_Payment" localSheetId="9">#REF!</definedName>
    <definedName name="Scheduled_Monthly_Payment" localSheetId="10">#REF!</definedName>
    <definedName name="Scheduled_Monthly_Payment" localSheetId="11">#REF!</definedName>
    <definedName name="Scheduled_Monthly_Payment">#REF!</definedName>
    <definedName name="SCW_1">[62]Sheet1!$B$4</definedName>
    <definedName name="SCW_10">[62]Sheet1!$B$13</definedName>
    <definedName name="SCW_11">[62]Sheet1!$B$14</definedName>
    <definedName name="SCW_2">[62]Sheet1!$B$5</definedName>
    <definedName name="SCW_3">[62]Sheet1!$B$6</definedName>
    <definedName name="SCW_4">[62]Sheet1!$B$7</definedName>
    <definedName name="SCW_5">[62]Sheet1!$B$8</definedName>
    <definedName name="SCW_6">[62]Sheet1!$B$9</definedName>
    <definedName name="SCW_7">[62]Sheet1!$B$10</definedName>
    <definedName name="SCW_8">[62]Sheet1!$B$11</definedName>
    <definedName name="SCW_9">[62]Sheet1!$B$12</definedName>
    <definedName name="sdf" localSheetId="0">'[44]pop&amp;infl'!#REF!</definedName>
    <definedName name="sdf" localSheetId="1">'[44]pop&amp;infl'!#REF!</definedName>
    <definedName name="sdf" localSheetId="12">'[44]pop&amp;infl'!#REF!</definedName>
    <definedName name="sdf" localSheetId="7">'[44]pop&amp;infl'!#REF!</definedName>
    <definedName name="sdf" localSheetId="8">'[44]pop&amp;infl'!#REF!</definedName>
    <definedName name="sdf" localSheetId="9">'[44]pop&amp;infl'!#REF!</definedName>
    <definedName name="sdf" localSheetId="10">'[44]pop&amp;infl'!#REF!</definedName>
    <definedName name="sdf" localSheetId="11">'[44]pop&amp;infl'!#REF!</definedName>
    <definedName name="sdf">'[44]pop&amp;infl'!#REF!</definedName>
    <definedName name="sdg" localSheetId="0" hidden="1">#REF!</definedName>
    <definedName name="sdg" localSheetId="1" hidden="1">#REF!</definedName>
    <definedName name="sdg" hidden="1">#REF!</definedName>
    <definedName name="Senior_Govt_Payables" localSheetId="0">#REF!</definedName>
    <definedName name="Senior_Govt_Payables" localSheetId="1">#REF!</definedName>
    <definedName name="Senior_Govt_Payables">#REF!</definedName>
    <definedName name="Senior_Govt_Receivables">#REF!</definedName>
    <definedName name="Severity_Ratings">'[51]Rating Scales'!$A$6:$G$10</definedName>
    <definedName name="Severity_Scale">'[51]Rating Scales'!$A$6:$A$10</definedName>
    <definedName name="SFD" localSheetId="0">[11]P840!#REF!</definedName>
    <definedName name="SFD" localSheetId="12">#REF!</definedName>
    <definedName name="SFD" localSheetId="7">#REF!</definedName>
    <definedName name="SFD" localSheetId="8">#REF!</definedName>
    <definedName name="SFD" localSheetId="9">#REF!</definedName>
    <definedName name="SFD" localSheetId="10">#REF!</definedName>
    <definedName name="SFD" localSheetId="11">#REF!</definedName>
    <definedName name="SFD">#REF!</definedName>
    <definedName name="SFDA" localSheetId="12">#REF!</definedName>
    <definedName name="SFDA" localSheetId="7">#REF!</definedName>
    <definedName name="SFDA" localSheetId="8">#REF!</definedName>
    <definedName name="SFDA" localSheetId="9">#REF!</definedName>
    <definedName name="SFDA" localSheetId="10">#REF!</definedName>
    <definedName name="SFDA" localSheetId="11">#REF!</definedName>
    <definedName name="SFDA">#REF!</definedName>
    <definedName name="SFV" localSheetId="12">#REF!</definedName>
    <definedName name="SFV" localSheetId="7">#REF!</definedName>
    <definedName name="SFV" localSheetId="8">#REF!</definedName>
    <definedName name="SFV" localSheetId="9">#REF!</definedName>
    <definedName name="SFV" localSheetId="10">#REF!</definedName>
    <definedName name="SFV" localSheetId="11">#REF!</definedName>
    <definedName name="SFV">#REF!</definedName>
    <definedName name="SFVA" localSheetId="12">#REF!</definedName>
    <definedName name="SFVA" localSheetId="7">#REF!</definedName>
    <definedName name="SFVA" localSheetId="8">#REF!</definedName>
    <definedName name="SFVA" localSheetId="9">#REF!</definedName>
    <definedName name="SFVA" localSheetId="10">#REF!</definedName>
    <definedName name="SFVA" localSheetId="11">#REF!</definedName>
    <definedName name="SFVA">#REF!</definedName>
    <definedName name="Short_Term_Borrowings">#REF!</definedName>
    <definedName name="singlefamilyrate">[9]Dashboard!$C$85:$L$85</definedName>
    <definedName name="solver_adj" localSheetId="3" hidden="1">capacity15!$K$13</definedName>
    <definedName name="solver_adj" localSheetId="4" hidden="1">capacity25!$K$13</definedName>
    <definedName name="solver_adj" localSheetId="2" hidden="1">'Tab 2 - Citywide'!$K$13</definedName>
    <definedName name="solver_adj" localSheetId="5" hidden="1">'Tab 3 - Catchment'!$K$26</definedName>
    <definedName name="solver_cvg" localSheetId="3" hidden="1">0.0001</definedName>
    <definedName name="solver_cvg" localSheetId="4" hidden="1">0.0001</definedName>
    <definedName name="solver_cvg" localSheetId="2" hidden="1">0.0001</definedName>
    <definedName name="solver_cvg" localSheetId="5" hidden="1">0.0001</definedName>
    <definedName name="solver_drv" localSheetId="3" hidden="1">2</definedName>
    <definedName name="solver_drv" localSheetId="4" hidden="1">2</definedName>
    <definedName name="solver_drv" localSheetId="2" hidden="1">2</definedName>
    <definedName name="solver_drv" localSheetId="5" hidden="1">2</definedName>
    <definedName name="solver_eng" localSheetId="3" hidden="1">1</definedName>
    <definedName name="solver_eng" localSheetId="4" hidden="1">1</definedName>
    <definedName name="solver_eng" localSheetId="2" hidden="1">1</definedName>
    <definedName name="solver_eng" localSheetId="5" hidden="1">1</definedName>
    <definedName name="solver_est" localSheetId="3" hidden="1">1</definedName>
    <definedName name="solver_est" localSheetId="4" hidden="1">1</definedName>
    <definedName name="solver_est" localSheetId="2" hidden="1">1</definedName>
    <definedName name="solver_est" localSheetId="5" hidden="1">1</definedName>
    <definedName name="solver_itr" localSheetId="3" hidden="1">2147483647</definedName>
    <definedName name="solver_itr" localSheetId="4" hidden="1">2147483647</definedName>
    <definedName name="solver_itr" localSheetId="2" hidden="1">2147483647</definedName>
    <definedName name="solver_itr" localSheetId="5" hidden="1">2147483647</definedName>
    <definedName name="solver_mip" localSheetId="3" hidden="1">2147483647</definedName>
    <definedName name="solver_mip" localSheetId="4" hidden="1">2147483647</definedName>
    <definedName name="solver_mip" localSheetId="2" hidden="1">2147483647</definedName>
    <definedName name="solver_mip" localSheetId="5" hidden="1">2147483647</definedName>
    <definedName name="solver_mni" localSheetId="3" hidden="1">30</definedName>
    <definedName name="solver_mni" localSheetId="4" hidden="1">30</definedName>
    <definedName name="solver_mni" localSheetId="2" hidden="1">30</definedName>
    <definedName name="solver_mni" localSheetId="5" hidden="1">30</definedName>
    <definedName name="solver_mrt" localSheetId="3" hidden="1">0.075</definedName>
    <definedName name="solver_mrt" localSheetId="4" hidden="1">0.075</definedName>
    <definedName name="solver_mrt" localSheetId="2" hidden="1">0.075</definedName>
    <definedName name="solver_mrt" localSheetId="5" hidden="1">0.075</definedName>
    <definedName name="solver_msl" localSheetId="3" hidden="1">2</definedName>
    <definedName name="solver_msl" localSheetId="4" hidden="1">2</definedName>
    <definedName name="solver_msl" localSheetId="2" hidden="1">2</definedName>
    <definedName name="solver_msl" localSheetId="5" hidden="1">2</definedName>
    <definedName name="solver_neg" localSheetId="3" hidden="1">1</definedName>
    <definedName name="solver_neg" localSheetId="4" hidden="1">1</definedName>
    <definedName name="solver_neg" localSheetId="2" hidden="1">1</definedName>
    <definedName name="solver_neg" localSheetId="5" hidden="1">1</definedName>
    <definedName name="solver_nod" localSheetId="3" hidden="1">2147483647</definedName>
    <definedName name="solver_nod" localSheetId="4" hidden="1">2147483647</definedName>
    <definedName name="solver_nod" localSheetId="2" hidden="1">2147483647</definedName>
    <definedName name="solver_nod" localSheetId="5" hidden="1">2147483647</definedName>
    <definedName name="solver_num" localSheetId="3" hidden="1">0</definedName>
    <definedName name="solver_num" localSheetId="4" hidden="1">0</definedName>
    <definedName name="solver_num" localSheetId="2" hidden="1">0</definedName>
    <definedName name="solver_num" localSheetId="5" hidden="1">0</definedName>
    <definedName name="solver_nwt" localSheetId="3" hidden="1">1</definedName>
    <definedName name="solver_nwt" localSheetId="4" hidden="1">1</definedName>
    <definedName name="solver_nwt" localSheetId="2" hidden="1">1</definedName>
    <definedName name="solver_nwt" localSheetId="5" hidden="1">1</definedName>
    <definedName name="solver_opt" localSheetId="3" hidden="1">capacity15!$L$5</definedName>
    <definedName name="solver_opt" localSheetId="4" hidden="1">capacity25!$L$5</definedName>
    <definedName name="solver_opt" localSheetId="2" hidden="1">'Tab 2 - Citywide'!$L$5</definedName>
    <definedName name="solver_opt" localSheetId="5" hidden="1">'Tab 3 - Catchment'!$L$5</definedName>
    <definedName name="solver_pre" localSheetId="3" hidden="1">0.000001</definedName>
    <definedName name="solver_pre" localSheetId="4" hidden="1">0.000001</definedName>
    <definedName name="solver_pre" localSheetId="2" hidden="1">0.000001</definedName>
    <definedName name="solver_pre" localSheetId="5" hidden="1">0.000001</definedName>
    <definedName name="solver_rbv" localSheetId="3" hidden="1">2</definedName>
    <definedName name="solver_rbv" localSheetId="4" hidden="1">2</definedName>
    <definedName name="solver_rbv" localSheetId="2" hidden="1">2</definedName>
    <definedName name="solver_rbv" localSheetId="5" hidden="1">2</definedName>
    <definedName name="solver_rlx" localSheetId="3" hidden="1">2</definedName>
    <definedName name="solver_rlx" localSheetId="4" hidden="1">2</definedName>
    <definedName name="solver_rlx" localSheetId="2" hidden="1">2</definedName>
    <definedName name="solver_rlx" localSheetId="5" hidden="1">2</definedName>
    <definedName name="solver_rsd" localSheetId="3" hidden="1">0</definedName>
    <definedName name="solver_rsd" localSheetId="4" hidden="1">0</definedName>
    <definedName name="solver_rsd" localSheetId="2" hidden="1">0</definedName>
    <definedName name="solver_rsd" localSheetId="5" hidden="1">0</definedName>
    <definedName name="solver_scl" localSheetId="3" hidden="1">2</definedName>
    <definedName name="solver_scl" localSheetId="4" hidden="1">2</definedName>
    <definedName name="solver_scl" localSheetId="2" hidden="1">2</definedName>
    <definedName name="solver_scl" localSheetId="5" hidden="1">2</definedName>
    <definedName name="solver_sho" localSheetId="3" hidden="1">2</definedName>
    <definedName name="solver_sho" localSheetId="4" hidden="1">2</definedName>
    <definedName name="solver_sho" localSheetId="2" hidden="1">2</definedName>
    <definedName name="solver_sho" localSheetId="5" hidden="1">2</definedName>
    <definedName name="solver_ssz" localSheetId="3" hidden="1">100</definedName>
    <definedName name="solver_ssz" localSheetId="4" hidden="1">100</definedName>
    <definedName name="solver_ssz" localSheetId="2" hidden="1">100</definedName>
    <definedName name="solver_ssz" localSheetId="5" hidden="1">100</definedName>
    <definedName name="solver_tim" localSheetId="3" hidden="1">2147483647</definedName>
    <definedName name="solver_tim" localSheetId="4" hidden="1">2147483647</definedName>
    <definedName name="solver_tim" localSheetId="2" hidden="1">2147483647</definedName>
    <definedName name="solver_tim" localSheetId="5" hidden="1">2147483647</definedName>
    <definedName name="solver_tol" localSheetId="3" hidden="1">0.01</definedName>
    <definedName name="solver_tol" localSheetId="4" hidden="1">0.01</definedName>
    <definedName name="solver_tol" localSheetId="2" hidden="1">0.01</definedName>
    <definedName name="solver_tol" localSheetId="5" hidden="1">0.01</definedName>
    <definedName name="solver_typ" localSheetId="3" hidden="1">3</definedName>
    <definedName name="solver_typ" localSheetId="4" hidden="1">3</definedName>
    <definedName name="solver_typ" localSheetId="2" hidden="1">3</definedName>
    <definedName name="solver_typ" localSheetId="5" hidden="1">3</definedName>
    <definedName name="solver_val" localSheetId="3" hidden="1">294667285.3</definedName>
    <definedName name="solver_val" localSheetId="4" hidden="1">294667285.3</definedName>
    <definedName name="solver_val" localSheetId="2" hidden="1">294667285.3</definedName>
    <definedName name="solver_val" localSheetId="5" hidden="1">294667285.3</definedName>
    <definedName name="solver_ver" localSheetId="3" hidden="1">3</definedName>
    <definedName name="solver_ver" localSheetId="4" hidden="1">3</definedName>
    <definedName name="solver_ver" localSheetId="2" hidden="1">3</definedName>
    <definedName name="solver_ver" localSheetId="5" hidden="1">3</definedName>
    <definedName name="Source_Lookup">[8]Lookup!$L$4:$L$45</definedName>
    <definedName name="Sponsor">[42]Sheet1!$A$2:$A$3</definedName>
    <definedName name="STATCDE_Lookup">[8]Lookup!$S$4:$S$17</definedName>
    <definedName name="Stats_Elapsed">#REF!</definedName>
    <definedName name="Stats_End">#REF!</definedName>
    <definedName name="Stats_Inst_Counter">#REF!</definedName>
    <definedName name="Stats_Inst_Dir_Name">#REF!</definedName>
    <definedName name="Stats_Inst_File_Name">#REF!</definedName>
    <definedName name="Stats_Layout_Name">#REF!</definedName>
    <definedName name="Stats_OPR">#REF!</definedName>
    <definedName name="Stats_Req_BU">#REF!</definedName>
    <definedName name="Stats_RID">#REF!</definedName>
    <definedName name="Stats_SCN">#REF!</definedName>
    <definedName name="susan">'[52]X-1-1'!#REF!</definedName>
    <definedName name="SV_0">[62]Sheet1!$H$4</definedName>
    <definedName name="SV_1">[62]Sheet1!$H$5</definedName>
    <definedName name="SV_2">[62]Sheet1!$H$6</definedName>
    <definedName name="SV_3">[62]Sheet1!$H$7</definedName>
    <definedName name="SV_4">[62]Sheet1!$H$8</definedName>
    <definedName name="SV_5">[62]Sheet1!$H$9</definedName>
    <definedName name="sys_cip" localSheetId="0">[7]Dashboard!#REF!</definedName>
    <definedName name="sys_cip" localSheetId="1">[7]Dashboard!#REF!</definedName>
    <definedName name="sys_cip" localSheetId="12">[7]Dashboard!#REF!</definedName>
    <definedName name="sys_cip" localSheetId="7">[7]Dashboard!#REF!</definedName>
    <definedName name="sys_cip" localSheetId="8">[7]Dashboard!#REF!</definedName>
    <definedName name="sys_cip" localSheetId="9">[7]Dashboard!#REF!</definedName>
    <definedName name="sys_cip" localSheetId="10">[7]Dashboard!#REF!</definedName>
    <definedName name="sys_cip" localSheetId="11">[7]Dashboard!#REF!</definedName>
    <definedName name="sys_cip">[7]Dashboard!#REF!</definedName>
    <definedName name="sys_dollar">[9]Dashboard!$C$45:$G$45</definedName>
    <definedName name="sys_existing" localSheetId="0">[7]Dashboard!#REF!</definedName>
    <definedName name="sys_existing" localSheetId="1">[7]Dashboard!#REF!</definedName>
    <definedName name="sys_existing" localSheetId="12">[7]Dashboard!#REF!</definedName>
    <definedName name="sys_existing" localSheetId="7">[7]Dashboard!#REF!</definedName>
    <definedName name="sys_existing" localSheetId="8">[7]Dashboard!#REF!</definedName>
    <definedName name="sys_existing" localSheetId="9">[7]Dashboard!#REF!</definedName>
    <definedName name="sys_existing" localSheetId="10">[7]Dashboard!#REF!</definedName>
    <definedName name="sys_existing" localSheetId="11">[7]Dashboard!#REF!</definedName>
    <definedName name="sys_existing">[7]Dashboard!#REF!</definedName>
    <definedName name="sys_percent">[9]Dashboard!$C$42:$G$42</definedName>
    <definedName name="t" localSheetId="0">#REF!</definedName>
    <definedName name="t" localSheetId="1">#REF!</definedName>
    <definedName name="t" localSheetId="12">#REF!</definedName>
    <definedName name="t" localSheetId="8">#REF!</definedName>
    <definedName name="t" localSheetId="9">#REF!</definedName>
    <definedName name="t" localSheetId="10">#REF!</definedName>
    <definedName name="t" localSheetId="11">#REF!</definedName>
    <definedName name="t">#REF!</definedName>
    <definedName name="Table_UniqueID" localSheetId="0">[4]TOOL_UID3!$F$2:$G$764</definedName>
    <definedName name="Table_UniqueID" localSheetId="1">[4]TOOL_UID3!$F$2:$G$764</definedName>
    <definedName name="Table_UniqueID">[5]TOOL_UID3!$F$2:$G$764</definedName>
    <definedName name="Table_UniqueID_NoDrain" localSheetId="0">[4]TOOL_UID_2!$A$1:$B$583</definedName>
    <definedName name="Table_UniqueID_NoDrain" localSheetId="1">[4]TOOL_UID_2!$A$1:$B$583</definedName>
    <definedName name="Table_UniqueID_NoDrain">[5]TOOL_UID_2!$A$1:$B$583</definedName>
    <definedName name="Taxes_Receivable" localSheetId="0">#REF!</definedName>
    <definedName name="Taxes_Receivable" localSheetId="1">#REF!</definedName>
    <definedName name="Taxes_Receivable" localSheetId="12">#REF!</definedName>
    <definedName name="Taxes_Receivable" localSheetId="14">#REF!</definedName>
    <definedName name="Taxes_Receivable" localSheetId="8">#REF!</definedName>
    <definedName name="Taxes_Receivable" localSheetId="9">#REF!</definedName>
    <definedName name="Taxes_Receivable" localSheetId="10">#REF!</definedName>
    <definedName name="Taxes_Receivable" localSheetId="11">#REF!</definedName>
    <definedName name="Taxes_Receivable">#REF!</definedName>
    <definedName name="Term">[54]Model!$F$16</definedName>
    <definedName name="Test" localSheetId="0">'[12]2011 Financials'!#REF!</definedName>
    <definedName name="Test" localSheetId="1">'[12]2011 Financials'!#REF!</definedName>
    <definedName name="Test" localSheetId="12">'[12]2011 Financials'!#REF!</definedName>
    <definedName name="Test" localSheetId="7">'[12]2011 Financials'!#REF!</definedName>
    <definedName name="Test" localSheetId="8">'[12]2011 Financials'!#REF!</definedName>
    <definedName name="Test" localSheetId="9">'[12]2011 Financials'!#REF!</definedName>
    <definedName name="Test" localSheetId="10">'[12]2011 Financials'!#REF!</definedName>
    <definedName name="Test" localSheetId="11">'[12]2011 Financials'!#REF!</definedName>
    <definedName name="Test">'[12]2011 Financials'!#REF!</definedName>
    <definedName name="To_Delete">'[1]O-1 Other Payables'!#REF!</definedName>
    <definedName name="TOOL_AgreementSector" localSheetId="0">'[4]TOOL_Agreement Sectors'!$A$2:$D$327</definedName>
    <definedName name="TOOL_AgreementSector" localSheetId="1">'[4]TOOL_Agreement Sectors'!$A$2:$D$327</definedName>
    <definedName name="TOOL_AgreementSector">'[5]TOOL_Agreement Sectors'!$A$2:$D$327</definedName>
    <definedName name="TOOL_Levy_Types" localSheetId="0">[4]TOOL_LevyTypes!$C$5:$D$29</definedName>
    <definedName name="TOOL_Levy_Types" localSheetId="1">[4]TOOL_LevyTypes!$C$5:$D$29</definedName>
    <definedName name="TOOL_Levy_Types">[5]TOOL_LevyTypes!$C$5:$D$29</definedName>
    <definedName name="TOTAL_CITY">'[1]O-1 Other Payables'!#REF!</definedName>
    <definedName name="Total_Equity_In_Fixed_Assets">#REF!</definedName>
    <definedName name="Total_Interest" localSheetId="12">#REF!</definedName>
    <definedName name="Total_Interest" localSheetId="8">#REF!</definedName>
    <definedName name="Total_Interest" localSheetId="9">#REF!</definedName>
    <definedName name="Total_Interest" localSheetId="10">#REF!</definedName>
    <definedName name="Total_Interest" localSheetId="11">#REF!</definedName>
    <definedName name="Total_Interest">#REF!</definedName>
    <definedName name="Total_Pay" localSheetId="12">#REF!</definedName>
    <definedName name="Total_Pay" localSheetId="8">#REF!</definedName>
    <definedName name="Total_Pay" localSheetId="9">#REF!</definedName>
    <definedName name="Total_Pay" localSheetId="10">#REF!</definedName>
    <definedName name="Total_Pay" localSheetId="11">#REF!</definedName>
    <definedName name="Total_Pay">#REF!</definedName>
    <definedName name="Total_Reserves">#REF!</definedName>
    <definedName name="Total_Surplus_Deficit_Oper">#REF!</definedName>
    <definedName name="Trust_Funds">#REF!</definedName>
    <definedName name="Type">[41]Sheet1!$B$242:$B$247</definedName>
    <definedName name="u" localSheetId="0">'[10]Ver 1 - Loan beg 2009'!#REF!</definedName>
    <definedName name="u" localSheetId="1">'[10]Ver 1 - Loan beg 2009'!#REF!</definedName>
    <definedName name="u" localSheetId="12">'[10]Ver 1 - Loan beg 2009'!#REF!</definedName>
    <definedName name="u" localSheetId="8">'[10]Ver 1 - Loan beg 2009'!#REF!</definedName>
    <definedName name="u" localSheetId="9">'[10]Ver 1 - Loan beg 2009'!#REF!</definedName>
    <definedName name="u" localSheetId="10">'[10]Ver 1 - Loan beg 2009'!#REF!</definedName>
    <definedName name="u" localSheetId="11">'[10]Ver 1 - Loan beg 2009'!#REF!</definedName>
    <definedName name="u">'[10]Ver 1 - Loan beg 2009'!#REF!</definedName>
    <definedName name="Uncompleted_Capital_Projects" localSheetId="0">#REF!</definedName>
    <definedName name="Uncompleted_Capital_Projects" localSheetId="1">#REF!</definedName>
    <definedName name="Uncompleted_Capital_Projects">#REF!</definedName>
    <definedName name="UniqueID_Amount_NoDrain" localSheetId="0">[4]TOOL_UID_1!$B$2:$B$1548</definedName>
    <definedName name="UniqueID_Amount_NoDrain" localSheetId="1">[4]TOOL_UID_1!$B$2:$B$1548</definedName>
    <definedName name="UniqueID_Amount_NoDrain">[5]TOOL_UID_1!$B$2:$B$1548</definedName>
    <definedName name="UniqueID_NoDrain" localSheetId="0">[4]TOOL_UID_1!$A$2:$A$1547</definedName>
    <definedName name="UniqueID_NoDrain" localSheetId="1">[4]TOOL_UID_1!$A$2:$A$1547</definedName>
    <definedName name="UniqueID_NoDrain">[5]TOOL_UID_1!$A$2:$A$1547</definedName>
    <definedName name="v" localSheetId="0">#REF!</definedName>
    <definedName name="v" localSheetId="1">#REF!</definedName>
    <definedName name="v" localSheetId="12">#REF!</definedName>
    <definedName name="v" localSheetId="8">#REF!</definedName>
    <definedName name="v" localSheetId="9">#REF!</definedName>
    <definedName name="v" localSheetId="10">#REF!</definedName>
    <definedName name="v" localSheetId="11">#REF!</definedName>
    <definedName name="v">#REF!</definedName>
    <definedName name="Values_Entered" localSheetId="0">IF('Read me'!Loan_Amount*Interest_Rate*Loan_Years*Loan_Start&gt;0,1,0)</definedName>
    <definedName name="Values_Entered" localSheetId="1">IF('Tab 1 - Summary'!Loan_Amount*Interest_Rate*Loan_Years*Loan_Start&gt;0,1,0)</definedName>
    <definedName name="Values_Entered" localSheetId="12">IF('Tab 10 - Pine'!Loan_Amount*'Tab 10 - Pine'!Interest_Rate*'Tab 10 - Pine'!Loan_Years*'Tab 10 - Pine'!Loan_Start&gt;0,1,0)</definedName>
    <definedName name="Values_Entered" localSheetId="14">IF(Loan_Amount*Interest_Rate*Loan_Years*Loan_Start&gt;0,1,0)</definedName>
    <definedName name="Values_Entered" localSheetId="8">IF('Tab 6 - Bow'!Loan_Amount*'Tab 6 - Bow'!Interest_Rate*'Tab 6 - Bow'!Loan_Years*'Tab 6 - Bow'!Loan_Start&gt;0,1,0)</definedName>
    <definedName name="Values_Entered" localSheetId="9">IF('Tab 7 - Nose'!Loan_Amount*'Tab 7 - Nose'!Interest_Rate*'Tab 7 - Nose'!Loan_Years*'Tab 7 - Nose'!Loan_Start&gt;0,1,0)</definedName>
    <definedName name="Values_Entered" localSheetId="10">IF('Tab 8 - Shepard'!Loan_Amount*'Tab 8 - Shepard'!Interest_Rate*'Tab 8 - Shepard'!Loan_Years*'Tab 8 - Shepard'!Loan_Start&gt;0,1,0)</definedName>
    <definedName name="Values_Entered" localSheetId="11">IF('Tab 9 - Fish'!Loan_Amount*'Tab 9 - Fish'!Interest_Rate*'Tab 9 - Fish'!Loan_Years*'Tab 9 - Fish'!Loan_Start&gt;0,1,0)</definedName>
    <definedName name="Values_Entered">IF(Loan_Amount*Interest_Rate*Loan_Years*Loan_Start&gt;0,1,0)</definedName>
    <definedName name="Vanessa" localSheetId="0">'[12]2011 Financials'!#REF!,'[12]2011 Financials'!#REF!,'[12]2011 Financials'!#REF!</definedName>
    <definedName name="Vanessa" localSheetId="1">'[12]2011 Financials'!#REF!,'[12]2011 Financials'!#REF!,'[12]2011 Financials'!#REF!</definedName>
    <definedName name="Vanessa" localSheetId="12">'[12]2011 Financials'!#REF!,'[12]2011 Financials'!#REF!,'[12]2011 Financials'!#REF!</definedName>
    <definedName name="Vanessa" localSheetId="14">'[12]2011 Financials'!#REF!,'[12]2011 Financials'!#REF!,'[12]2011 Financials'!#REF!</definedName>
    <definedName name="Vanessa" localSheetId="7">'[12]2011 Financials'!#REF!,'[12]2011 Financials'!#REF!,'[12]2011 Financials'!#REF!</definedName>
    <definedName name="Vanessa" localSheetId="8">'[12]2011 Financials'!#REF!,'[12]2011 Financials'!#REF!,'[12]2011 Financials'!#REF!</definedName>
    <definedName name="Vanessa" localSheetId="9">'[12]2011 Financials'!#REF!,'[12]2011 Financials'!#REF!,'[12]2011 Financials'!#REF!</definedName>
    <definedName name="Vanessa" localSheetId="10">'[12]2011 Financials'!#REF!,'[12]2011 Financials'!#REF!,'[12]2011 Financials'!#REF!</definedName>
    <definedName name="Vanessa" localSheetId="11">'[12]2011 Financials'!#REF!,'[12]2011 Financials'!#REF!,'[12]2011 Financials'!#REF!</definedName>
    <definedName name="Vanessa">'[12]2011 Financials'!#REF!,'[12]2011 Financials'!#REF!,'[12]2011 Financials'!#REF!</definedName>
    <definedName name="Version_Lookup">[8]Lookup!$O$33</definedName>
    <definedName name="vol_charge">[9]Dashboard!$D$109:$H$115</definedName>
    <definedName name="Voucher">'[63]UEP BS_AP_DETAIL'!$C$6</definedName>
    <definedName name="x" localSheetId="0">[43]loan!#REF!</definedName>
    <definedName name="x" localSheetId="1">[43]loan!#REF!</definedName>
    <definedName name="x" localSheetId="12">[43]loan!#REF!</definedName>
    <definedName name="x" localSheetId="8">[43]loan!#REF!</definedName>
    <definedName name="x" localSheetId="9">[43]loan!#REF!</definedName>
    <definedName name="x" localSheetId="10">[43]loan!#REF!</definedName>
    <definedName name="x" localSheetId="11">[43]loan!#REF!</definedName>
    <definedName name="x">[43]loan!#REF!</definedName>
    <definedName name="xx" localSheetId="0">#REF!</definedName>
    <definedName name="xx" localSheetId="1">#REF!</definedName>
    <definedName name="xx" localSheetId="12">#REF!</definedName>
    <definedName name="xx" localSheetId="8">#REF!</definedName>
    <definedName name="xx" localSheetId="9">#REF!</definedName>
    <definedName name="xx" localSheetId="10">#REF!</definedName>
    <definedName name="xx" localSheetId="11">#REF!</definedName>
    <definedName name="xx">#REF!</definedName>
    <definedName name="y" localSheetId="0">'[10]Ver 1 - Loan beg 2009'!#REF!</definedName>
    <definedName name="y" localSheetId="1">'[10]Ver 1 - Loan beg 2009'!#REF!</definedName>
    <definedName name="y" localSheetId="12">'[10]Ver 1 - Loan beg 2009'!#REF!</definedName>
    <definedName name="y" localSheetId="8">'[10]Ver 1 - Loan beg 2009'!#REF!</definedName>
    <definedName name="y" localSheetId="9">'[10]Ver 1 - Loan beg 2009'!#REF!</definedName>
    <definedName name="y" localSheetId="10">'[10]Ver 1 - Loan beg 2009'!#REF!</definedName>
    <definedName name="y" localSheetId="11">'[10]Ver 1 - Loan beg 2009'!#REF!</definedName>
    <definedName name="y">'[10]Ver 1 - Loan beg 2009'!#REF!</definedName>
    <definedName name="Years_of_Serviced_Land_Supply" localSheetId="0">#REF!</definedName>
    <definedName name="Years_of_Serviced_Land_Supply" localSheetId="1">#REF!</definedName>
    <definedName name="Years_of_Serviced_Land_Supply">#REF!</definedName>
    <definedName name="z" localSheetId="12">ROW(#REF!)</definedName>
    <definedName name="z" localSheetId="8">ROW(#REF!)</definedName>
    <definedName name="z" localSheetId="9">ROW(#REF!)</definedName>
    <definedName name="z" localSheetId="10">ROW(#REF!)</definedName>
    <definedName name="z" localSheetId="11">ROW(#REF!)</definedName>
    <definedName name="z">ROW(#REF!)</definedName>
    <definedName name="Z_79B96354_E03B_4B82_A905_18031C9A89B1_.wvu.Cols" localSheetId="7" hidden="1">'Tab 5 - Capital'!$D:$D,'Tab 5 - Capital'!#REF!,'Tab 5 - Capital'!#REF!</definedName>
    <definedName name="Z_79B96354_E03B_4B82_A905_18031C9A89B1_.wvu.FilterData" localSheetId="7" hidden="1">'Tab 5 - Capital'!$A$5:$G$5</definedName>
    <definedName name="Z_79B96354_E03B_4B82_A905_18031C9A89B1_.wvu.PrintTitles" localSheetId="7" hidden="1">'Tab 5 - Capital'!$1:$5</definedName>
    <definedName name="Z_79B96354_E03B_4B82_A905_18031C9A89B1_.wvu.Rows" localSheetId="7" hidden="1">'Tab 5 - Capital'!#REF!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74" l="1"/>
  <c r="AY19" i="168"/>
  <c r="Z20" i="168"/>
  <c r="Z16" i="168"/>
  <c r="AY19" i="174"/>
  <c r="AY20" i="174"/>
  <c r="Z20" i="174"/>
  <c r="Z16" i="174"/>
  <c r="AX19" i="166" l="1"/>
  <c r="AY19" i="166"/>
  <c r="Z20" i="166"/>
  <c r="Z16" i="166"/>
  <c r="Z24" i="172"/>
  <c r="AA24" i="172"/>
  <c r="AB24" i="172"/>
  <c r="AC24" i="172"/>
  <c r="AD24" i="172"/>
  <c r="AE24" i="172"/>
  <c r="AF24" i="172"/>
  <c r="AG24" i="172"/>
  <c r="AH24" i="172"/>
  <c r="AI24" i="172"/>
  <c r="AJ24" i="172"/>
  <c r="AK24" i="172"/>
  <c r="AL24" i="172"/>
  <c r="AM24" i="172"/>
  <c r="AN24" i="172"/>
  <c r="AO24" i="172"/>
  <c r="AP24" i="172"/>
  <c r="AQ24" i="172"/>
  <c r="AR24" i="172"/>
  <c r="AS24" i="172"/>
  <c r="AT24" i="172"/>
  <c r="AU24" i="172"/>
  <c r="AV24" i="172"/>
  <c r="AW24" i="172"/>
  <c r="AX24" i="172"/>
  <c r="AY24" i="172"/>
  <c r="AZ24" i="172"/>
  <c r="BA24" i="172"/>
  <c r="BB24" i="172"/>
  <c r="BC24" i="172"/>
  <c r="BD24" i="172"/>
  <c r="Z25" i="172"/>
  <c r="AA25" i="172"/>
  <c r="AB25" i="172"/>
  <c r="AC25" i="172"/>
  <c r="AD25" i="172"/>
  <c r="AE25" i="172"/>
  <c r="AF25" i="172"/>
  <c r="AG25" i="172"/>
  <c r="AH25" i="172"/>
  <c r="AI25" i="172"/>
  <c r="AJ25" i="172"/>
  <c r="AK25" i="172"/>
  <c r="AL25" i="172"/>
  <c r="AM25" i="172"/>
  <c r="AN25" i="172"/>
  <c r="AO25" i="172"/>
  <c r="AP25" i="172"/>
  <c r="AQ25" i="172"/>
  <c r="AR25" i="172"/>
  <c r="AS25" i="172"/>
  <c r="AT25" i="172"/>
  <c r="AU25" i="172"/>
  <c r="AV25" i="172"/>
  <c r="AW25" i="172"/>
  <c r="AX25" i="172"/>
  <c r="AY25" i="172"/>
  <c r="AZ25" i="172"/>
  <c r="BA25" i="172"/>
  <c r="BB25" i="172"/>
  <c r="BC25" i="172"/>
  <c r="BD25" i="172"/>
  <c r="Z20" i="172"/>
  <c r="AY19" i="172"/>
  <c r="Z16" i="172"/>
  <c r="Z24" i="170"/>
  <c r="AA24" i="170"/>
  <c r="AB24" i="170"/>
  <c r="AC24" i="170"/>
  <c r="AD24" i="170"/>
  <c r="AE24" i="170"/>
  <c r="AF24" i="170"/>
  <c r="AG24" i="170"/>
  <c r="AH24" i="170"/>
  <c r="AI24" i="170"/>
  <c r="AJ24" i="170"/>
  <c r="AK24" i="170"/>
  <c r="AL24" i="170"/>
  <c r="AM24" i="170"/>
  <c r="AN24" i="170"/>
  <c r="AO24" i="170"/>
  <c r="AP24" i="170"/>
  <c r="AQ24" i="170"/>
  <c r="AR24" i="170"/>
  <c r="AS24" i="170"/>
  <c r="AT24" i="170"/>
  <c r="AU24" i="170"/>
  <c r="AV24" i="170"/>
  <c r="AW24" i="170"/>
  <c r="AX24" i="170"/>
  <c r="AY24" i="170"/>
  <c r="AZ24" i="170"/>
  <c r="BA24" i="170"/>
  <c r="BB24" i="170"/>
  <c r="BC24" i="170"/>
  <c r="BD24" i="170"/>
  <c r="Z25" i="170"/>
  <c r="AA25" i="170"/>
  <c r="AB25" i="170"/>
  <c r="AC25" i="170"/>
  <c r="AD25" i="170"/>
  <c r="AE25" i="170"/>
  <c r="AF25" i="170"/>
  <c r="AG25" i="170"/>
  <c r="AH25" i="170"/>
  <c r="AI25" i="170"/>
  <c r="AJ25" i="170"/>
  <c r="AK25" i="170"/>
  <c r="AL25" i="170"/>
  <c r="AM25" i="170"/>
  <c r="AN25" i="170"/>
  <c r="AO25" i="170"/>
  <c r="AP25" i="170"/>
  <c r="AQ25" i="170"/>
  <c r="AR25" i="170"/>
  <c r="AS25" i="170"/>
  <c r="AT25" i="170"/>
  <c r="AU25" i="170"/>
  <c r="AV25" i="170"/>
  <c r="AW25" i="170"/>
  <c r="AX25" i="170"/>
  <c r="AY25" i="170"/>
  <c r="AZ25" i="170"/>
  <c r="BA25" i="170"/>
  <c r="BB25" i="170"/>
  <c r="BC25" i="170"/>
  <c r="BD25" i="170"/>
  <c r="AY19" i="170" l="1"/>
  <c r="Z20" i="170"/>
  <c r="Z16" i="170"/>
  <c r="Z23" i="170" l="1"/>
  <c r="S16" i="113" l="1"/>
  <c r="R16" i="113"/>
  <c r="Q16" i="113"/>
  <c r="E9" i="154"/>
  <c r="Y9" i="154" s="1"/>
  <c r="S4" i="154"/>
  <c r="T4" i="154"/>
  <c r="U4" i="154"/>
  <c r="V4" i="154"/>
  <c r="W4" i="154"/>
  <c r="X4" i="154"/>
  <c r="Y4" i="154"/>
  <c r="Z4" i="154"/>
  <c r="AA4" i="154"/>
  <c r="AB4" i="154"/>
  <c r="S5" i="154"/>
  <c r="T5" i="154"/>
  <c r="U5" i="154"/>
  <c r="V5" i="154"/>
  <c r="W5" i="154"/>
  <c r="X5" i="154"/>
  <c r="Y5" i="154"/>
  <c r="Z5" i="154"/>
  <c r="AA5" i="154"/>
  <c r="AB5" i="154"/>
  <c r="S6" i="154"/>
  <c r="T6" i="154"/>
  <c r="U6" i="154"/>
  <c r="V6" i="154"/>
  <c r="W6" i="154"/>
  <c r="X6" i="154"/>
  <c r="Y6" i="154"/>
  <c r="Z6" i="154"/>
  <c r="AA6" i="154"/>
  <c r="AB6" i="154"/>
  <c r="S7" i="154"/>
  <c r="T7" i="154"/>
  <c r="U7" i="154"/>
  <c r="V7" i="154"/>
  <c r="W7" i="154"/>
  <c r="X7" i="154"/>
  <c r="Y7" i="154"/>
  <c r="Z7" i="154"/>
  <c r="AA7" i="154"/>
  <c r="AB7" i="154"/>
  <c r="S8" i="154"/>
  <c r="T8" i="154"/>
  <c r="U8" i="154"/>
  <c r="V8" i="154"/>
  <c r="W8" i="154"/>
  <c r="X8" i="154"/>
  <c r="Y8" i="154"/>
  <c r="Z8" i="154"/>
  <c r="AA8" i="154"/>
  <c r="AB8" i="154"/>
  <c r="T9" i="154"/>
  <c r="U9" i="154"/>
  <c r="V9" i="154"/>
  <c r="W9" i="154"/>
  <c r="X9" i="154"/>
  <c r="AB9" i="154"/>
  <c r="R9" i="154"/>
  <c r="R10" i="154" s="1"/>
  <c r="R8" i="154"/>
  <c r="R7" i="154"/>
  <c r="R6" i="154"/>
  <c r="R5" i="154"/>
  <c r="R4" i="154"/>
  <c r="E10" i="154"/>
  <c r="E7" i="154"/>
  <c r="E8" i="154"/>
  <c r="E5" i="154"/>
  <c r="E6" i="154"/>
  <c r="E4" i="154"/>
  <c r="AA9" i="154" l="1"/>
  <c r="S9" i="154"/>
  <c r="Z9" i="154"/>
  <c r="AD11" i="176" l="1"/>
  <c r="K101" i="123"/>
  <c r="K74" i="123"/>
  <c r="K57" i="123"/>
  <c r="K40" i="123"/>
  <c r="K23" i="123"/>
  <c r="D30" i="116"/>
  <c r="C36" i="116"/>
  <c r="B36" i="116"/>
  <c r="H23" i="123" l="1"/>
  <c r="E23" i="123"/>
  <c r="D23" i="123"/>
  <c r="AN26" i="176" l="1"/>
  <c r="Z9" i="166"/>
  <c r="Z9" i="172" s="1"/>
  <c r="Z9" i="170" l="1"/>
  <c r="O12" i="154" l="1"/>
  <c r="P12" i="154"/>
  <c r="Q12" i="154"/>
  <c r="N12" i="154"/>
  <c r="AE11" i="176"/>
  <c r="D36" i="116" l="1"/>
  <c r="D35" i="116"/>
  <c r="D34" i="116"/>
  <c r="D33" i="116"/>
  <c r="D32" i="116"/>
  <c r="D31" i="116"/>
  <c r="Q36" i="113" l="1"/>
  <c r="G13" i="185" l="1"/>
  <c r="G14" i="185"/>
  <c r="G15" i="185"/>
  <c r="G16" i="185"/>
  <c r="G17" i="185"/>
  <c r="G12" i="185"/>
  <c r="G8" i="185"/>
  <c r="C16" i="185"/>
  <c r="P21" i="183"/>
  <c r="P22" i="183"/>
  <c r="P23" i="183"/>
  <c r="P24" i="183"/>
  <c r="P25" i="183"/>
  <c r="P20" i="183"/>
  <c r="P12" i="176"/>
  <c r="K89" i="123" l="1"/>
  <c r="J73" i="123"/>
  <c r="L53" i="183" l="1"/>
  <c r="AQ48" i="183"/>
  <c r="AP48" i="183"/>
  <c r="AO48" i="183"/>
  <c r="AN48" i="183"/>
  <c r="AM48" i="183"/>
  <c r="AL48" i="183"/>
  <c r="AK48" i="183"/>
  <c r="AJ48" i="183"/>
  <c r="AI48" i="183"/>
  <c r="AH48" i="183"/>
  <c r="AG48" i="183"/>
  <c r="AF48" i="183"/>
  <c r="AE48" i="183"/>
  <c r="AD48" i="183"/>
  <c r="AC48" i="183"/>
  <c r="AB48" i="183"/>
  <c r="AA48" i="183"/>
  <c r="Z48" i="183"/>
  <c r="Y48" i="183"/>
  <c r="X48" i="183"/>
  <c r="W48" i="183"/>
  <c r="V48" i="183"/>
  <c r="U48" i="183"/>
  <c r="T48" i="183"/>
  <c r="S48" i="183"/>
  <c r="R48" i="183"/>
  <c r="Q48" i="183"/>
  <c r="P48" i="183"/>
  <c r="Q25" i="183"/>
  <c r="R25" i="183" s="1"/>
  <c r="S25" i="183" s="1"/>
  <c r="T25" i="183" s="1"/>
  <c r="U25" i="183" s="1"/>
  <c r="V25" i="183" s="1"/>
  <c r="W25" i="183" s="1"/>
  <c r="Q24" i="183"/>
  <c r="R24" i="183" s="1"/>
  <c r="S24" i="183" s="1"/>
  <c r="T24" i="183" s="1"/>
  <c r="U24" i="183" s="1"/>
  <c r="V24" i="183" s="1"/>
  <c r="W24" i="183" s="1"/>
  <c r="X24" i="183" s="1"/>
  <c r="Y24" i="183" s="1"/>
  <c r="Z24" i="183" s="1"/>
  <c r="AA24" i="183" s="1"/>
  <c r="Q23" i="183"/>
  <c r="R23" i="183" s="1"/>
  <c r="S23" i="183" s="1"/>
  <c r="T23" i="183" s="1"/>
  <c r="U23" i="183" s="1"/>
  <c r="V23" i="183" s="1"/>
  <c r="W23" i="183" s="1"/>
  <c r="X23" i="183" s="1"/>
  <c r="Y23" i="183" s="1"/>
  <c r="Z23" i="183" s="1"/>
  <c r="Q22" i="183"/>
  <c r="R22" i="183" s="1"/>
  <c r="S22" i="183" s="1"/>
  <c r="T22" i="183" s="1"/>
  <c r="U22" i="183" s="1"/>
  <c r="V22" i="183" s="1"/>
  <c r="W22" i="183" s="1"/>
  <c r="X22" i="183" s="1"/>
  <c r="Y22" i="183" s="1"/>
  <c r="Z22" i="183" s="1"/>
  <c r="AA22" i="183" s="1"/>
  <c r="AB22" i="183" s="1"/>
  <c r="AC22" i="183" s="1"/>
  <c r="AD22" i="183" s="1"/>
  <c r="Q21" i="183"/>
  <c r="Q20" i="183"/>
  <c r="R21" i="183" l="1"/>
  <c r="S21" i="183" s="1"/>
  <c r="T21" i="183" s="1"/>
  <c r="U21" i="183" s="1"/>
  <c r="V21" i="183" s="1"/>
  <c r="W21" i="183" s="1"/>
  <c r="X21" i="183" s="1"/>
  <c r="Y21" i="183" s="1"/>
  <c r="Z21" i="183" s="1"/>
  <c r="AA21" i="183" s="1"/>
  <c r="AB21" i="183" s="1"/>
  <c r="AC21" i="183" s="1"/>
  <c r="AD21" i="183" s="1"/>
  <c r="AE21" i="183" s="1"/>
  <c r="AF21" i="183" s="1"/>
  <c r="AG21" i="183" s="1"/>
  <c r="AH21" i="183" s="1"/>
  <c r="AI21" i="183" s="1"/>
  <c r="AJ21" i="183" s="1"/>
  <c r="AK21" i="183" s="1"/>
  <c r="AL21" i="183" s="1"/>
  <c r="AM21" i="183" s="1"/>
  <c r="AN21" i="183" s="1"/>
  <c r="AO21" i="183" s="1"/>
  <c r="AP21" i="183" s="1"/>
  <c r="AQ21" i="183" s="1"/>
  <c r="R20" i="183"/>
  <c r="S20" i="183" s="1"/>
  <c r="T20" i="183" s="1"/>
  <c r="U20" i="183" s="1"/>
  <c r="V20" i="183" s="1"/>
  <c r="W20" i="183" s="1"/>
  <c r="X20" i="183" s="1"/>
  <c r="Y20" i="183" s="1"/>
  <c r="Z20" i="183" s="1"/>
  <c r="AA20" i="183" s="1"/>
  <c r="AB20" i="183" s="1"/>
  <c r="AC20" i="183" s="1"/>
  <c r="AD20" i="183" s="1"/>
  <c r="AE20" i="183" s="1"/>
  <c r="AF20" i="183" s="1"/>
  <c r="AG20" i="183" s="1"/>
  <c r="AH20" i="183" s="1"/>
  <c r="AI20" i="183" s="1"/>
  <c r="AJ20" i="183" s="1"/>
  <c r="AK20" i="183" s="1"/>
  <c r="AE22" i="183"/>
  <c r="AF22" i="183" s="1"/>
  <c r="AG22" i="183" s="1"/>
  <c r="AH22" i="183" s="1"/>
  <c r="AA23" i="183"/>
  <c r="AB23" i="183" s="1"/>
  <c r="AC23" i="183" s="1"/>
  <c r="AD23" i="183" s="1"/>
  <c r="AE23" i="183" s="1"/>
  <c r="AF23" i="183" s="1"/>
  <c r="AG23" i="183" s="1"/>
  <c r="AH23" i="183" s="1"/>
  <c r="AI23" i="183" s="1"/>
  <c r="AJ23" i="183" s="1"/>
  <c r="AK23" i="183" s="1"/>
  <c r="AL23" i="183" s="1"/>
  <c r="AM23" i="183" s="1"/>
  <c r="AN23" i="183" s="1"/>
  <c r="AO23" i="183" s="1"/>
  <c r="AP23" i="183" s="1"/>
  <c r="AQ23" i="183" s="1"/>
  <c r="AB24" i="183"/>
  <c r="AC24" i="183" s="1"/>
  <c r="AD24" i="183" s="1"/>
  <c r="X25" i="183"/>
  <c r="Y25" i="183" s="1"/>
  <c r="Z25" i="183" s="1"/>
  <c r="AA25" i="183" s="1"/>
  <c r="AB25" i="183" s="1"/>
  <c r="AC25" i="183" s="1"/>
  <c r="AD25" i="183" s="1"/>
  <c r="AE25" i="183" s="1"/>
  <c r="AF25" i="183" s="1"/>
  <c r="AG25" i="183" s="1"/>
  <c r="AH25" i="183" s="1"/>
  <c r="AI25" i="183" s="1"/>
  <c r="AJ25" i="183" s="1"/>
  <c r="AK25" i="183" s="1"/>
  <c r="AL25" i="183" s="1"/>
  <c r="AM25" i="183" s="1"/>
  <c r="AN25" i="183" s="1"/>
  <c r="AO25" i="183" s="1"/>
  <c r="AP25" i="183" s="1"/>
  <c r="AQ25" i="183" s="1"/>
  <c r="AJ28" i="183" l="1"/>
  <c r="AQ28" i="183"/>
  <c r="AM28" i="183"/>
  <c r="AI28" i="183"/>
  <c r="AL28" i="183"/>
  <c r="AN28" i="183"/>
  <c r="AP28" i="183"/>
  <c r="AK28" i="183"/>
  <c r="AO28" i="183"/>
  <c r="AH28" i="183"/>
  <c r="AL27" i="183"/>
  <c r="AK27" i="183"/>
  <c r="AH27" i="183"/>
  <c r="AP30" i="183"/>
  <c r="AM30" i="183"/>
  <c r="AQ30" i="183"/>
  <c r="AN30" i="183"/>
  <c r="AO32" i="183"/>
  <c r="AM32" i="183"/>
  <c r="AL32" i="183"/>
  <c r="AK32" i="183"/>
  <c r="AN32" i="183"/>
  <c r="AP32" i="183"/>
  <c r="AQ32" i="183"/>
  <c r="AJ27" i="183"/>
  <c r="AL20" i="183"/>
  <c r="AM27" i="183" s="1"/>
  <c r="AI22" i="183"/>
  <c r="AO30" i="183"/>
  <c r="AI27" i="183"/>
  <c r="AE24" i="183"/>
  <c r="AJ22" i="183" l="1"/>
  <c r="AF24" i="183"/>
  <c r="AM20" i="183"/>
  <c r="AN20" i="183" l="1"/>
  <c r="AO27" i="183" s="1"/>
  <c r="AG24" i="183"/>
  <c r="AH31" i="183" s="1"/>
  <c r="AN27" i="183"/>
  <c r="AK22" i="183"/>
  <c r="AL22" i="183" l="1"/>
  <c r="AH24" i="183"/>
  <c r="AI31" i="183" s="1"/>
  <c r="AO20" i="183"/>
  <c r="AP27" i="183" s="1"/>
  <c r="AP20" i="183" l="1"/>
  <c r="AQ27" i="183" s="1"/>
  <c r="AI24" i="183"/>
  <c r="AJ31" i="183" s="1"/>
  <c r="AM22" i="183"/>
  <c r="AJ24" i="183" l="1"/>
  <c r="AN22" i="183"/>
  <c r="AQ20" i="183"/>
  <c r="AO22" i="183" l="1"/>
  <c r="AK24" i="183"/>
  <c r="AK31" i="183"/>
  <c r="AL24" i="183" l="1"/>
  <c r="AM31" i="183" s="1"/>
  <c r="AP22" i="183"/>
  <c r="AL31" i="183"/>
  <c r="AQ22" i="183" l="1"/>
  <c r="AM24" i="183"/>
  <c r="AN31" i="183" s="1"/>
  <c r="AN24" i="183" l="1"/>
  <c r="AO31" i="183" s="1"/>
  <c r="AO24" i="183" l="1"/>
  <c r="AP31" i="183" s="1"/>
  <c r="AP24" i="183" l="1"/>
  <c r="AQ31" i="183" s="1"/>
  <c r="AQ24" i="183" l="1"/>
  <c r="L31" i="176" l="1"/>
  <c r="AM26" i="176"/>
  <c r="AL26" i="176"/>
  <c r="AK26" i="176"/>
  <c r="AJ26" i="176"/>
  <c r="AI26" i="176"/>
  <c r="AH26" i="176"/>
  <c r="AG26" i="176"/>
  <c r="AF26" i="176"/>
  <c r="AE26" i="176"/>
  <c r="AD26" i="176"/>
  <c r="AC26" i="176"/>
  <c r="AB26" i="176"/>
  <c r="AA26" i="176"/>
  <c r="Z26" i="176"/>
  <c r="Y26" i="176"/>
  <c r="X26" i="176"/>
  <c r="W26" i="176"/>
  <c r="V26" i="176"/>
  <c r="U26" i="176"/>
  <c r="T26" i="176"/>
  <c r="S26" i="176"/>
  <c r="R26" i="176"/>
  <c r="Q26" i="176"/>
  <c r="P26" i="176"/>
  <c r="K14" i="176"/>
  <c r="M11" i="176"/>
  <c r="P23" i="176" s="1"/>
  <c r="Q23" i="176" l="1"/>
  <c r="R23" i="176" s="1"/>
  <c r="S23" i="176" s="1"/>
  <c r="T23" i="176" s="1"/>
  <c r="U23" i="176" s="1"/>
  <c r="V23" i="176" s="1"/>
  <c r="W23" i="176" s="1"/>
  <c r="X23" i="176" s="1"/>
  <c r="Y23" i="176" s="1"/>
  <c r="Z23" i="176" s="1"/>
  <c r="AA23" i="176" s="1"/>
  <c r="AB23" i="176" s="1"/>
  <c r="AC23" i="176" s="1"/>
  <c r="AD23" i="176" s="1"/>
  <c r="AE23" i="176" s="1"/>
  <c r="AF23" i="176" s="1"/>
  <c r="AG23" i="176" s="1"/>
  <c r="AH23" i="176" s="1"/>
  <c r="AI23" i="176" s="1"/>
  <c r="AJ23" i="176" s="1"/>
  <c r="AK23" i="176" s="1"/>
  <c r="AL23" i="176" s="1"/>
  <c r="AM23" i="176" s="1"/>
  <c r="AN23" i="176" s="1"/>
  <c r="Q12" i="176" l="1"/>
  <c r="R12" i="176" l="1"/>
  <c r="S14" i="176" s="1"/>
  <c r="R14" i="176"/>
  <c r="S12" i="176" l="1"/>
  <c r="T14" i="176" s="1"/>
  <c r="T12" i="176" l="1"/>
  <c r="U12" i="176" l="1"/>
  <c r="V14" i="176" s="1"/>
  <c r="U14" i="176"/>
  <c r="V12" i="176" l="1"/>
  <c r="W14" i="176" s="1"/>
  <c r="W12" i="176" l="1"/>
  <c r="X14" i="176" s="1"/>
  <c r="X12" i="176" l="1"/>
  <c r="Y12" i="176" l="1"/>
  <c r="Y14" i="176"/>
  <c r="Z12" i="176" l="1"/>
  <c r="Z14" i="176"/>
  <c r="AA12" i="176" l="1"/>
  <c r="AB14" i="176" s="1"/>
  <c r="AA14" i="176"/>
  <c r="AB12" i="176" l="1"/>
  <c r="AC14" i="176" s="1"/>
  <c r="AC12" i="176" l="1"/>
  <c r="AD14" i="176" s="1"/>
  <c r="AD12" i="176" l="1"/>
  <c r="AE12" i="176" l="1"/>
  <c r="AE14" i="176"/>
  <c r="AF12" i="176" l="1"/>
  <c r="AG14" i="176" s="1"/>
  <c r="AF14" i="176"/>
  <c r="AG12" i="176" l="1"/>
  <c r="AH12" i="176" l="1"/>
  <c r="AI14" i="176" s="1"/>
  <c r="AH14" i="176"/>
  <c r="AI12" i="176" l="1"/>
  <c r="AJ12" i="176" l="1"/>
  <c r="AJ14" i="176"/>
  <c r="AK12" i="176" l="1"/>
  <c r="AL14" i="176" s="1"/>
  <c r="AK14" i="176"/>
  <c r="AL12" i="176" l="1"/>
  <c r="AM14" i="176" l="1"/>
  <c r="AM12" i="176"/>
  <c r="AN12" i="176" s="1"/>
  <c r="AN14" i="176" l="1"/>
  <c r="B128" i="174"/>
  <c r="B108" i="174"/>
  <c r="B88" i="174"/>
  <c r="A87" i="174"/>
  <c r="A97" i="174" s="1"/>
  <c r="A107" i="174" s="1"/>
  <c r="A117" i="174" s="1"/>
  <c r="A86" i="174"/>
  <c r="A96" i="174" s="1"/>
  <c r="A106" i="174" s="1"/>
  <c r="A116" i="174" s="1"/>
  <c r="A85" i="174"/>
  <c r="A95" i="174" s="1"/>
  <c r="A105" i="174" s="1"/>
  <c r="A115" i="174" s="1"/>
  <c r="A84" i="174"/>
  <c r="A94" i="174" s="1"/>
  <c r="A104" i="174" s="1"/>
  <c r="A114" i="174" s="1"/>
  <c r="A83" i="174"/>
  <c r="A93" i="174" s="1"/>
  <c r="A103" i="174" s="1"/>
  <c r="A113" i="174" s="1"/>
  <c r="A82" i="174"/>
  <c r="A92" i="174" s="1"/>
  <c r="A102" i="174" s="1"/>
  <c r="A112" i="174" s="1"/>
  <c r="A81" i="174"/>
  <c r="A91" i="174" s="1"/>
  <c r="A101" i="174" s="1"/>
  <c r="A111" i="174" s="1"/>
  <c r="A80" i="174"/>
  <c r="A90" i="174" s="1"/>
  <c r="A100" i="174" s="1"/>
  <c r="A110" i="174" s="1"/>
  <c r="A79" i="174"/>
  <c r="A89" i="174" s="1"/>
  <c r="A99" i="174" s="1"/>
  <c r="A109" i="174" s="1"/>
  <c r="B78" i="174"/>
  <c r="B58" i="174"/>
  <c r="A47" i="174"/>
  <c r="A57" i="174" s="1"/>
  <c r="A67" i="174" s="1"/>
  <c r="A46" i="174"/>
  <c r="A56" i="174" s="1"/>
  <c r="A66" i="174" s="1"/>
  <c r="A45" i="174"/>
  <c r="A55" i="174" s="1"/>
  <c r="A65" i="174" s="1"/>
  <c r="A44" i="174"/>
  <c r="A54" i="174" s="1"/>
  <c r="A64" i="174" s="1"/>
  <c r="A43" i="174"/>
  <c r="A53" i="174" s="1"/>
  <c r="A63" i="174" s="1"/>
  <c r="A42" i="174"/>
  <c r="A41" i="174"/>
  <c r="A51" i="174" s="1"/>
  <c r="A61" i="174" s="1"/>
  <c r="A40" i="174"/>
  <c r="A50" i="174" s="1"/>
  <c r="A60" i="174" s="1"/>
  <c r="A39" i="174"/>
  <c r="B38" i="174"/>
  <c r="BD25" i="174"/>
  <c r="BC25" i="174"/>
  <c r="BB25" i="174"/>
  <c r="BA25" i="174"/>
  <c r="AZ25" i="174"/>
  <c r="AY25" i="174"/>
  <c r="AX25" i="174"/>
  <c r="AW25" i="174"/>
  <c r="AV25" i="174"/>
  <c r="AU25" i="174"/>
  <c r="AT25" i="174"/>
  <c r="AS25" i="174"/>
  <c r="AR25" i="174"/>
  <c r="AQ25" i="174"/>
  <c r="AP25" i="174"/>
  <c r="AO25" i="174"/>
  <c r="AN25" i="174"/>
  <c r="AM25" i="174"/>
  <c r="AL25" i="174"/>
  <c r="AK25" i="174"/>
  <c r="AJ25" i="174"/>
  <c r="AI25" i="174"/>
  <c r="AH25" i="174"/>
  <c r="AG25" i="174"/>
  <c r="AF25" i="174"/>
  <c r="AE25" i="174"/>
  <c r="AD25" i="174"/>
  <c r="AC25" i="174"/>
  <c r="AB25" i="174"/>
  <c r="AA25" i="174"/>
  <c r="Z25" i="174"/>
  <c r="Y25" i="174"/>
  <c r="X25" i="174"/>
  <c r="W25" i="174"/>
  <c r="V25" i="174"/>
  <c r="U25" i="174"/>
  <c r="T25" i="174"/>
  <c r="S25" i="174"/>
  <c r="R25" i="174"/>
  <c r="Q25" i="174"/>
  <c r="P25" i="174"/>
  <c r="O25" i="174"/>
  <c r="N25" i="174"/>
  <c r="M25" i="174"/>
  <c r="L25" i="174"/>
  <c r="K25" i="174"/>
  <c r="J25" i="174"/>
  <c r="I25" i="174"/>
  <c r="H25" i="174"/>
  <c r="G25" i="174"/>
  <c r="F25" i="174"/>
  <c r="E25" i="174"/>
  <c r="D25" i="174"/>
  <c r="C25" i="174"/>
  <c r="BD24" i="174"/>
  <c r="BD26" i="174" s="1"/>
  <c r="BC24" i="174"/>
  <c r="BC26" i="174" s="1"/>
  <c r="BB24" i="174"/>
  <c r="BA24" i="174"/>
  <c r="AZ24" i="174"/>
  <c r="AY24" i="174"/>
  <c r="AX24" i="174"/>
  <c r="AW24" i="174"/>
  <c r="AV24" i="174"/>
  <c r="AV26" i="174" s="1"/>
  <c r="AU24" i="174"/>
  <c r="AT24" i="174"/>
  <c r="AS24" i="174"/>
  <c r="AR24" i="174"/>
  <c r="AQ24" i="174"/>
  <c r="AP24" i="174"/>
  <c r="AO24" i="174"/>
  <c r="AN24" i="174"/>
  <c r="AN26" i="174" s="1"/>
  <c r="AM24" i="174"/>
  <c r="AM26" i="174" s="1"/>
  <c r="AL24" i="174"/>
  <c r="AK24" i="174"/>
  <c r="AJ24" i="174"/>
  <c r="AI24" i="174"/>
  <c r="AH24" i="174"/>
  <c r="AG24" i="174"/>
  <c r="AF24" i="174"/>
  <c r="AF26" i="174" s="1"/>
  <c r="AE24" i="174"/>
  <c r="AE26" i="174" s="1"/>
  <c r="AD24" i="174"/>
  <c r="AC24" i="174"/>
  <c r="AB24" i="174"/>
  <c r="AA24" i="174"/>
  <c r="Z24" i="174"/>
  <c r="Y24" i="174"/>
  <c r="X24" i="174"/>
  <c r="X26" i="174" s="1"/>
  <c r="W24" i="174"/>
  <c r="V24" i="174"/>
  <c r="U24" i="174"/>
  <c r="T24" i="174"/>
  <c r="S24" i="174"/>
  <c r="R24" i="174"/>
  <c r="Q24" i="174"/>
  <c r="P24" i="174"/>
  <c r="P26" i="174" s="1"/>
  <c r="O24" i="174"/>
  <c r="O26" i="174" s="1"/>
  <c r="N24" i="174"/>
  <c r="M24" i="174"/>
  <c r="L24" i="174"/>
  <c r="K24" i="174"/>
  <c r="J24" i="174"/>
  <c r="I24" i="174"/>
  <c r="H24" i="174"/>
  <c r="H26" i="174" s="1"/>
  <c r="G24" i="174"/>
  <c r="G26" i="174" s="1"/>
  <c r="F24" i="174"/>
  <c r="E24" i="174"/>
  <c r="D24" i="174"/>
  <c r="C24" i="174"/>
  <c r="C26" i="174" s="1"/>
  <c r="BD23" i="174"/>
  <c r="BC23" i="174"/>
  <c r="BB23" i="174"/>
  <c r="BA23" i="174"/>
  <c r="AZ23" i="174"/>
  <c r="AY23" i="174"/>
  <c r="AX23" i="174"/>
  <c r="AW23" i="174"/>
  <c r="AV23" i="174"/>
  <c r="AU23" i="174"/>
  <c r="AT23" i="174"/>
  <c r="AS23" i="174"/>
  <c r="AR23" i="174"/>
  <c r="AQ23" i="174"/>
  <c r="AP23" i="174"/>
  <c r="AO23" i="174"/>
  <c r="AN23" i="174"/>
  <c r="AM23" i="174"/>
  <c r="AL23" i="174"/>
  <c r="AK23" i="174"/>
  <c r="AJ23" i="174"/>
  <c r="AI23" i="174"/>
  <c r="AH23" i="174"/>
  <c r="AG23" i="174"/>
  <c r="AF23" i="174"/>
  <c r="AE23" i="174"/>
  <c r="AD23" i="174"/>
  <c r="AC23" i="174"/>
  <c r="AB23" i="174"/>
  <c r="AA23" i="174"/>
  <c r="Z23" i="174"/>
  <c r="Y23" i="174"/>
  <c r="X23" i="174"/>
  <c r="W23" i="174"/>
  <c r="V23" i="174"/>
  <c r="U23" i="174"/>
  <c r="T23" i="174"/>
  <c r="S23" i="174"/>
  <c r="R23" i="174"/>
  <c r="Q23" i="174"/>
  <c r="P23" i="174"/>
  <c r="O23" i="174"/>
  <c r="N23" i="174"/>
  <c r="M23" i="174"/>
  <c r="L23" i="174"/>
  <c r="K23" i="174"/>
  <c r="J23" i="174"/>
  <c r="I23" i="174"/>
  <c r="H23" i="174"/>
  <c r="G23" i="174"/>
  <c r="F23" i="174"/>
  <c r="E23" i="174"/>
  <c r="D23" i="174"/>
  <c r="C23" i="174"/>
  <c r="B22" i="174"/>
  <c r="AA20" i="174"/>
  <c r="AB20" i="174" s="1"/>
  <c r="AC20" i="174" s="1"/>
  <c r="AD20" i="174" s="1"/>
  <c r="AE20" i="174" s="1"/>
  <c r="AF20" i="174" s="1"/>
  <c r="AG20" i="174" s="1"/>
  <c r="AH20" i="174" s="1"/>
  <c r="AI20" i="174" s="1"/>
  <c r="AJ20" i="174" s="1"/>
  <c r="AK20" i="174" s="1"/>
  <c r="AL20" i="174" s="1"/>
  <c r="AM20" i="174" s="1"/>
  <c r="AN20" i="174" s="1"/>
  <c r="AO20" i="174" s="1"/>
  <c r="AP20" i="174" s="1"/>
  <c r="AQ20" i="174" s="1"/>
  <c r="AR20" i="174" s="1"/>
  <c r="AS20" i="174" s="1"/>
  <c r="AT20" i="174" s="1"/>
  <c r="AU20" i="174" s="1"/>
  <c r="AV20" i="174" s="1"/>
  <c r="AW20" i="174" s="1"/>
  <c r="AX20" i="174" s="1"/>
  <c r="AX19" i="174"/>
  <c r="AW19" i="174"/>
  <c r="AV19" i="174"/>
  <c r="AU19" i="174"/>
  <c r="AT19" i="174"/>
  <c r="AS19" i="174"/>
  <c r="AR19" i="174"/>
  <c r="AQ19" i="174"/>
  <c r="AP19" i="174"/>
  <c r="AO19" i="174"/>
  <c r="AN19" i="174"/>
  <c r="AM19" i="174"/>
  <c r="AL19" i="174"/>
  <c r="AK19" i="174"/>
  <c r="AJ19" i="174"/>
  <c r="AI19" i="174"/>
  <c r="AH19" i="174"/>
  <c r="AG19" i="174"/>
  <c r="AF19" i="174"/>
  <c r="AE19" i="174"/>
  <c r="AD19" i="174"/>
  <c r="AC19" i="174"/>
  <c r="AB19" i="174"/>
  <c r="AA19" i="174"/>
  <c r="Z19" i="174"/>
  <c r="B18" i="174"/>
  <c r="B17" i="174"/>
  <c r="B16" i="174"/>
  <c r="B14" i="174"/>
  <c r="B13" i="174"/>
  <c r="A10" i="174"/>
  <c r="A9" i="174"/>
  <c r="E1" i="174"/>
  <c r="F1" i="174" s="1"/>
  <c r="G1" i="174" s="1"/>
  <c r="H1" i="174" s="1"/>
  <c r="I1" i="174" s="1"/>
  <c r="J1" i="174" s="1"/>
  <c r="K1" i="174" s="1"/>
  <c r="L1" i="174" s="1"/>
  <c r="M1" i="174" s="1"/>
  <c r="N1" i="174" s="1"/>
  <c r="O1" i="174" s="1"/>
  <c r="P1" i="174" s="1"/>
  <c r="Q1" i="174" s="1"/>
  <c r="R1" i="174" s="1"/>
  <c r="S1" i="174" s="1"/>
  <c r="T1" i="174" s="1"/>
  <c r="U1" i="174" s="1"/>
  <c r="V1" i="174" s="1"/>
  <c r="W1" i="174" s="1"/>
  <c r="X1" i="174" s="1"/>
  <c r="Y1" i="174" s="1"/>
  <c r="Z1" i="174" s="1"/>
  <c r="AA1" i="174" s="1"/>
  <c r="AB1" i="174" s="1"/>
  <c r="AC1" i="174" s="1"/>
  <c r="AD1" i="174" s="1"/>
  <c r="AE1" i="174" s="1"/>
  <c r="AF1" i="174" s="1"/>
  <c r="AG1" i="174" s="1"/>
  <c r="AH1" i="174" s="1"/>
  <c r="AI1" i="174" s="1"/>
  <c r="AJ1" i="174" s="1"/>
  <c r="AK1" i="174" s="1"/>
  <c r="AL1" i="174" s="1"/>
  <c r="AM1" i="174" s="1"/>
  <c r="AN1" i="174" s="1"/>
  <c r="AO1" i="174" s="1"/>
  <c r="AP1" i="174" s="1"/>
  <c r="AQ1" i="174" s="1"/>
  <c r="AR1" i="174" s="1"/>
  <c r="AS1" i="174" s="1"/>
  <c r="AT1" i="174" s="1"/>
  <c r="AU1" i="174" s="1"/>
  <c r="AV1" i="174" s="1"/>
  <c r="AW1" i="174" s="1"/>
  <c r="AX1" i="174" s="1"/>
  <c r="AY1" i="174" s="1"/>
  <c r="AZ1" i="174" s="1"/>
  <c r="BA1" i="174" s="1"/>
  <c r="BB1" i="174" s="1"/>
  <c r="BC1" i="174" s="1"/>
  <c r="BD1" i="174" s="1"/>
  <c r="BE1" i="174" s="1"/>
  <c r="BF1" i="174" s="1"/>
  <c r="BG1" i="174" s="1"/>
  <c r="BH1" i="174" s="1"/>
  <c r="BI1" i="174" s="1"/>
  <c r="D1" i="174"/>
  <c r="B128" i="172"/>
  <c r="B108" i="172"/>
  <c r="B88" i="172"/>
  <c r="A87" i="172"/>
  <c r="A97" i="172" s="1"/>
  <c r="A107" i="172" s="1"/>
  <c r="A117" i="172" s="1"/>
  <c r="A86" i="172"/>
  <c r="A96" i="172" s="1"/>
  <c r="A106" i="172" s="1"/>
  <c r="A116" i="172" s="1"/>
  <c r="A85" i="172"/>
  <c r="A95" i="172" s="1"/>
  <c r="A105" i="172" s="1"/>
  <c r="A115" i="172" s="1"/>
  <c r="A84" i="172"/>
  <c r="A94" i="172" s="1"/>
  <c r="A104" i="172" s="1"/>
  <c r="A114" i="172" s="1"/>
  <c r="A83" i="172"/>
  <c r="A93" i="172" s="1"/>
  <c r="A103" i="172" s="1"/>
  <c r="A113" i="172" s="1"/>
  <c r="A82" i="172"/>
  <c r="A92" i="172" s="1"/>
  <c r="A102" i="172" s="1"/>
  <c r="A112" i="172" s="1"/>
  <c r="A81" i="172"/>
  <c r="A91" i="172" s="1"/>
  <c r="A101" i="172" s="1"/>
  <c r="A111" i="172" s="1"/>
  <c r="A80" i="172"/>
  <c r="A90" i="172" s="1"/>
  <c r="A100" i="172" s="1"/>
  <c r="A110" i="172" s="1"/>
  <c r="A79" i="172"/>
  <c r="A89" i="172" s="1"/>
  <c r="A99" i="172" s="1"/>
  <c r="A109" i="172" s="1"/>
  <c r="B78" i="172"/>
  <c r="B58" i="172"/>
  <c r="A47" i="172"/>
  <c r="A57" i="172" s="1"/>
  <c r="A67" i="172" s="1"/>
  <c r="A46" i="172"/>
  <c r="A56" i="172" s="1"/>
  <c r="A66" i="172" s="1"/>
  <c r="A45" i="172"/>
  <c r="A55" i="172" s="1"/>
  <c r="A65" i="172" s="1"/>
  <c r="A44" i="172"/>
  <c r="A54" i="172" s="1"/>
  <c r="A64" i="172" s="1"/>
  <c r="A43" i="172"/>
  <c r="A53" i="172" s="1"/>
  <c r="A63" i="172" s="1"/>
  <c r="A42" i="172"/>
  <c r="A52" i="172" s="1"/>
  <c r="A62" i="172" s="1"/>
  <c r="A41" i="172"/>
  <c r="A51" i="172" s="1"/>
  <c r="A61" i="172" s="1"/>
  <c r="A40" i="172"/>
  <c r="A39" i="172"/>
  <c r="A49" i="172" s="1"/>
  <c r="A59" i="172" s="1"/>
  <c r="B38" i="172"/>
  <c r="Y25" i="172"/>
  <c r="X25" i="172"/>
  <c r="W25" i="172"/>
  <c r="V25" i="172"/>
  <c r="U25" i="172"/>
  <c r="T25" i="172"/>
  <c r="S25" i="172"/>
  <c r="R25" i="172"/>
  <c r="Q25" i="172"/>
  <c r="P25" i="172"/>
  <c r="O25" i="172"/>
  <c r="N25" i="172"/>
  <c r="M25" i="172"/>
  <c r="L25" i="172"/>
  <c r="K25" i="172"/>
  <c r="J25" i="172"/>
  <c r="I25" i="172"/>
  <c r="H25" i="172"/>
  <c r="G25" i="172"/>
  <c r="F25" i="172"/>
  <c r="E25" i="172"/>
  <c r="D25" i="172"/>
  <c r="C25" i="172"/>
  <c r="AR26" i="172"/>
  <c r="AJ26" i="172"/>
  <c r="AG26" i="172"/>
  <c r="Y24" i="172"/>
  <c r="X24" i="172"/>
  <c r="W24" i="172"/>
  <c r="W26" i="172" s="1"/>
  <c r="V24" i="172"/>
  <c r="U24" i="172"/>
  <c r="T24" i="172"/>
  <c r="S24" i="172"/>
  <c r="R24" i="172"/>
  <c r="R26" i="172" s="1"/>
  <c r="Q24" i="172"/>
  <c r="P24" i="172"/>
  <c r="O24" i="172"/>
  <c r="N24" i="172"/>
  <c r="M24" i="172"/>
  <c r="L24" i="172"/>
  <c r="K24" i="172"/>
  <c r="J24" i="172"/>
  <c r="J26" i="172" s="1"/>
  <c r="I24" i="172"/>
  <c r="H24" i="172"/>
  <c r="G24" i="172"/>
  <c r="F24" i="172"/>
  <c r="F26" i="172" s="1"/>
  <c r="E24" i="172"/>
  <c r="D24" i="172"/>
  <c r="C24" i="172"/>
  <c r="BD23" i="172"/>
  <c r="BC23" i="172"/>
  <c r="BB23" i="172"/>
  <c r="BA23" i="172"/>
  <c r="AZ23" i="172"/>
  <c r="AY23" i="172"/>
  <c r="AX23" i="172"/>
  <c r="AW23" i="172"/>
  <c r="AV23" i="172"/>
  <c r="AU23" i="172"/>
  <c r="AT23" i="172"/>
  <c r="AS23" i="172"/>
  <c r="AR23" i="172"/>
  <c r="AQ23" i="172"/>
  <c r="AP23" i="172"/>
  <c r="AO23" i="172"/>
  <c r="AN23" i="172"/>
  <c r="AM23" i="172"/>
  <c r="AL23" i="172"/>
  <c r="AK23" i="172"/>
  <c r="AJ23" i="172"/>
  <c r="AI23" i="172"/>
  <c r="AH23" i="172"/>
  <c r="AG23" i="172"/>
  <c r="AF23" i="172"/>
  <c r="AE23" i="172"/>
  <c r="AD23" i="172"/>
  <c r="AC23" i="172"/>
  <c r="AB23" i="172"/>
  <c r="AA23" i="172"/>
  <c r="Z23" i="172"/>
  <c r="Y23" i="172"/>
  <c r="X23" i="172"/>
  <c r="W23" i="172"/>
  <c r="V23" i="172"/>
  <c r="U23" i="172"/>
  <c r="T23" i="172"/>
  <c r="S23" i="172"/>
  <c r="R23" i="172"/>
  <c r="Q23" i="172"/>
  <c r="P23" i="172"/>
  <c r="O23" i="172"/>
  <c r="N23" i="172"/>
  <c r="M23" i="172"/>
  <c r="L23" i="172"/>
  <c r="K23" i="172"/>
  <c r="J23" i="172"/>
  <c r="I23" i="172"/>
  <c r="H23" i="172"/>
  <c r="G23" i="172"/>
  <c r="F23" i="172"/>
  <c r="E23" i="172"/>
  <c r="D23" i="172"/>
  <c r="C23" i="172"/>
  <c r="B22" i="172"/>
  <c r="AA20" i="172"/>
  <c r="AB20" i="172" s="1"/>
  <c r="AC20" i="172" s="1"/>
  <c r="AD20" i="172" s="1"/>
  <c r="AE20" i="172" s="1"/>
  <c r="AF20" i="172" s="1"/>
  <c r="AG20" i="172" s="1"/>
  <c r="AH20" i="172" s="1"/>
  <c r="AI20" i="172" s="1"/>
  <c r="AJ20" i="172" s="1"/>
  <c r="AK20" i="172" s="1"/>
  <c r="AL20" i="172" s="1"/>
  <c r="AM20" i="172" s="1"/>
  <c r="AN20" i="172" s="1"/>
  <c r="AO20" i="172" s="1"/>
  <c r="AP20" i="172" s="1"/>
  <c r="AQ20" i="172" s="1"/>
  <c r="AR20" i="172" s="1"/>
  <c r="AS20" i="172" s="1"/>
  <c r="AT20" i="172" s="1"/>
  <c r="AU20" i="172" s="1"/>
  <c r="AV20" i="172" s="1"/>
  <c r="AW20" i="172" s="1"/>
  <c r="AX20" i="172" s="1"/>
  <c r="AY20" i="172" s="1"/>
  <c r="AX19" i="172"/>
  <c r="AW19" i="172"/>
  <c r="AV19" i="172"/>
  <c r="AU19" i="172"/>
  <c r="AT19" i="172"/>
  <c r="AS19" i="172"/>
  <c r="AR19" i="172"/>
  <c r="AQ19" i="172"/>
  <c r="AP19" i="172"/>
  <c r="AO19" i="172"/>
  <c r="AN19" i="172"/>
  <c r="AM19" i="172"/>
  <c r="AL19" i="172"/>
  <c r="AK19" i="172"/>
  <c r="AJ19" i="172"/>
  <c r="AI19" i="172"/>
  <c r="AH19" i="172"/>
  <c r="AG19" i="172"/>
  <c r="AF19" i="172"/>
  <c r="AE19" i="172"/>
  <c r="AD19" i="172"/>
  <c r="AC19" i="172"/>
  <c r="AB19" i="172"/>
  <c r="AA19" i="172"/>
  <c r="Z19" i="172"/>
  <c r="B18" i="172"/>
  <c r="B17" i="172"/>
  <c r="B16" i="172"/>
  <c r="B14" i="172"/>
  <c r="B13" i="172"/>
  <c r="A10" i="172"/>
  <c r="A9" i="172"/>
  <c r="B4" i="172"/>
  <c r="D1" i="172"/>
  <c r="E1" i="172" s="1"/>
  <c r="F1" i="172" s="1"/>
  <c r="G1" i="172" s="1"/>
  <c r="H1" i="172" s="1"/>
  <c r="I1" i="172" s="1"/>
  <c r="J1" i="172" s="1"/>
  <c r="K1" i="172" s="1"/>
  <c r="L1" i="172" s="1"/>
  <c r="M1" i="172" s="1"/>
  <c r="N1" i="172" s="1"/>
  <c r="O1" i="172" s="1"/>
  <c r="P1" i="172" s="1"/>
  <c r="Q1" i="172" s="1"/>
  <c r="R1" i="172" s="1"/>
  <c r="S1" i="172" s="1"/>
  <c r="T1" i="172" s="1"/>
  <c r="U1" i="172" s="1"/>
  <c r="V1" i="172" s="1"/>
  <c r="W1" i="172" s="1"/>
  <c r="X1" i="172" s="1"/>
  <c r="Y1" i="172" s="1"/>
  <c r="Z1" i="172" s="1"/>
  <c r="AA1" i="172" s="1"/>
  <c r="AB1" i="172" s="1"/>
  <c r="AC1" i="172" s="1"/>
  <c r="AD1" i="172" s="1"/>
  <c r="AE1" i="172" s="1"/>
  <c r="AF1" i="172" s="1"/>
  <c r="AG1" i="172" s="1"/>
  <c r="AH1" i="172" s="1"/>
  <c r="AI1" i="172" s="1"/>
  <c r="AJ1" i="172" s="1"/>
  <c r="AK1" i="172" s="1"/>
  <c r="AL1" i="172" s="1"/>
  <c r="AM1" i="172" s="1"/>
  <c r="AN1" i="172" s="1"/>
  <c r="AO1" i="172" s="1"/>
  <c r="AP1" i="172" s="1"/>
  <c r="AQ1" i="172" s="1"/>
  <c r="AR1" i="172" s="1"/>
  <c r="AS1" i="172" s="1"/>
  <c r="AT1" i="172" s="1"/>
  <c r="AU1" i="172" s="1"/>
  <c r="AV1" i="172" s="1"/>
  <c r="AW1" i="172" s="1"/>
  <c r="AX1" i="172" s="1"/>
  <c r="AY1" i="172" s="1"/>
  <c r="AZ1" i="172" s="1"/>
  <c r="BA1" i="172" s="1"/>
  <c r="BB1" i="172" s="1"/>
  <c r="BC1" i="172" s="1"/>
  <c r="BD1" i="172" s="1"/>
  <c r="BE1" i="172" s="1"/>
  <c r="BF1" i="172" s="1"/>
  <c r="BG1" i="172" s="1"/>
  <c r="BH1" i="172" s="1"/>
  <c r="BI1" i="172" s="1"/>
  <c r="B128" i="170"/>
  <c r="B108" i="170"/>
  <c r="B88" i="170"/>
  <c r="A87" i="170"/>
  <c r="A97" i="170" s="1"/>
  <c r="A107" i="170" s="1"/>
  <c r="A117" i="170" s="1"/>
  <c r="A86" i="170"/>
  <c r="A96" i="170" s="1"/>
  <c r="A106" i="170" s="1"/>
  <c r="A116" i="170" s="1"/>
  <c r="A85" i="170"/>
  <c r="A95" i="170" s="1"/>
  <c r="A105" i="170" s="1"/>
  <c r="A115" i="170" s="1"/>
  <c r="A84" i="170"/>
  <c r="A94" i="170" s="1"/>
  <c r="A104" i="170" s="1"/>
  <c r="A114" i="170" s="1"/>
  <c r="A83" i="170"/>
  <c r="A93" i="170" s="1"/>
  <c r="A103" i="170" s="1"/>
  <c r="A113" i="170" s="1"/>
  <c r="A82" i="170"/>
  <c r="A92" i="170" s="1"/>
  <c r="A102" i="170" s="1"/>
  <c r="A112" i="170" s="1"/>
  <c r="A81" i="170"/>
  <c r="A91" i="170" s="1"/>
  <c r="A101" i="170" s="1"/>
  <c r="A111" i="170" s="1"/>
  <c r="A80" i="170"/>
  <c r="A90" i="170" s="1"/>
  <c r="A100" i="170" s="1"/>
  <c r="A110" i="170" s="1"/>
  <c r="A79" i="170"/>
  <c r="A89" i="170" s="1"/>
  <c r="A99" i="170" s="1"/>
  <c r="A109" i="170" s="1"/>
  <c r="B78" i="170"/>
  <c r="B58" i="170"/>
  <c r="A47" i="170"/>
  <c r="A57" i="170" s="1"/>
  <c r="A67" i="170" s="1"/>
  <c r="A46" i="170"/>
  <c r="A56" i="170" s="1"/>
  <c r="A66" i="170" s="1"/>
  <c r="A45" i="170"/>
  <c r="A55" i="170" s="1"/>
  <c r="A65" i="170" s="1"/>
  <c r="A44" i="170"/>
  <c r="A54" i="170" s="1"/>
  <c r="A64" i="170" s="1"/>
  <c r="A43" i="170"/>
  <c r="A53" i="170" s="1"/>
  <c r="A63" i="170" s="1"/>
  <c r="A42" i="170"/>
  <c r="A52" i="170" s="1"/>
  <c r="A62" i="170" s="1"/>
  <c r="A41" i="170"/>
  <c r="A51" i="170" s="1"/>
  <c r="A61" i="170" s="1"/>
  <c r="A40" i="170"/>
  <c r="A50" i="170" s="1"/>
  <c r="A60" i="170" s="1"/>
  <c r="A39" i="170"/>
  <c r="B38" i="170"/>
  <c r="Y25" i="170"/>
  <c r="X25" i="170"/>
  <c r="W25" i="170"/>
  <c r="V25" i="170"/>
  <c r="U25" i="170"/>
  <c r="T25" i="170"/>
  <c r="S25" i="170"/>
  <c r="R25" i="170"/>
  <c r="Q25" i="170"/>
  <c r="P25" i="170"/>
  <c r="O25" i="170"/>
  <c r="N25" i="170"/>
  <c r="M25" i="170"/>
  <c r="L25" i="170"/>
  <c r="K25" i="170"/>
  <c r="J25" i="170"/>
  <c r="I25" i="170"/>
  <c r="H25" i="170"/>
  <c r="G25" i="170"/>
  <c r="F25" i="170"/>
  <c r="E25" i="170"/>
  <c r="D25" i="170"/>
  <c r="C25" i="170"/>
  <c r="BB26" i="170"/>
  <c r="AY26" i="170"/>
  <c r="AX26" i="170"/>
  <c r="AT26" i="170"/>
  <c r="AQ26" i="170"/>
  <c r="AP26" i="170"/>
  <c r="AL26" i="170"/>
  <c r="AI26" i="170"/>
  <c r="AH26" i="170"/>
  <c r="AD26" i="170"/>
  <c r="AA26" i="170"/>
  <c r="Z26" i="170"/>
  <c r="Y24" i="170"/>
  <c r="X24" i="170"/>
  <c r="W24" i="170"/>
  <c r="V24" i="170"/>
  <c r="U24" i="170"/>
  <c r="T24" i="170"/>
  <c r="S24" i="170"/>
  <c r="R24" i="170"/>
  <c r="Q24" i="170"/>
  <c r="P24" i="170"/>
  <c r="O24" i="170"/>
  <c r="N24" i="170"/>
  <c r="M24" i="170"/>
  <c r="L24" i="170"/>
  <c r="K24" i="170"/>
  <c r="K26" i="170" s="1"/>
  <c r="J24" i="170"/>
  <c r="I24" i="170"/>
  <c r="H24" i="170"/>
  <c r="G24" i="170"/>
  <c r="F24" i="170"/>
  <c r="E24" i="170"/>
  <c r="D24" i="170"/>
  <c r="C24" i="170"/>
  <c r="BD23" i="170"/>
  <c r="BC23" i="170"/>
  <c r="BB23" i="170"/>
  <c r="BA23" i="170"/>
  <c r="AZ23" i="170"/>
  <c r="AY23" i="170"/>
  <c r="AX23" i="170"/>
  <c r="AW23" i="170"/>
  <c r="AV23" i="170"/>
  <c r="AU23" i="170"/>
  <c r="AT23" i="170"/>
  <c r="AS23" i="170"/>
  <c r="AR23" i="170"/>
  <c r="AQ23" i="170"/>
  <c r="AP23" i="170"/>
  <c r="AO23" i="170"/>
  <c r="AN23" i="170"/>
  <c r="AM23" i="170"/>
  <c r="AL23" i="170"/>
  <c r="AK23" i="170"/>
  <c r="AJ23" i="170"/>
  <c r="AI23" i="170"/>
  <c r="AH23" i="170"/>
  <c r="AG23" i="170"/>
  <c r="AF23" i="170"/>
  <c r="AE23" i="170"/>
  <c r="AD23" i="170"/>
  <c r="AC23" i="170"/>
  <c r="AB23" i="170"/>
  <c r="AA23" i="170"/>
  <c r="Y23" i="170"/>
  <c r="X23" i="170"/>
  <c r="W23" i="170"/>
  <c r="V23" i="170"/>
  <c r="U23" i="170"/>
  <c r="T23" i="170"/>
  <c r="S23" i="170"/>
  <c r="R23" i="170"/>
  <c r="Q23" i="170"/>
  <c r="P23" i="170"/>
  <c r="O23" i="170"/>
  <c r="N23" i="170"/>
  <c r="M23" i="170"/>
  <c r="L23" i="170"/>
  <c r="K23" i="170"/>
  <c r="J23" i="170"/>
  <c r="I23" i="170"/>
  <c r="H23" i="170"/>
  <c r="G23" i="170"/>
  <c r="F23" i="170"/>
  <c r="E23" i="170"/>
  <c r="D23" i="170"/>
  <c r="C23" i="170"/>
  <c r="B22" i="170"/>
  <c r="AA20" i="170"/>
  <c r="AB20" i="170" s="1"/>
  <c r="AC20" i="170" s="1"/>
  <c r="AD20" i="170" s="1"/>
  <c r="AE20" i="170" s="1"/>
  <c r="AF20" i="170" s="1"/>
  <c r="AG20" i="170" s="1"/>
  <c r="AH20" i="170" s="1"/>
  <c r="AI20" i="170" s="1"/>
  <c r="AJ20" i="170" s="1"/>
  <c r="AK20" i="170" s="1"/>
  <c r="AL20" i="170" s="1"/>
  <c r="AM20" i="170" s="1"/>
  <c r="AN20" i="170" s="1"/>
  <c r="AO20" i="170" s="1"/>
  <c r="AP20" i="170" s="1"/>
  <c r="AQ20" i="170" s="1"/>
  <c r="AR20" i="170" s="1"/>
  <c r="AS20" i="170" s="1"/>
  <c r="AT20" i="170" s="1"/>
  <c r="AU20" i="170" s="1"/>
  <c r="AV20" i="170" s="1"/>
  <c r="AW20" i="170" s="1"/>
  <c r="AX20" i="170" s="1"/>
  <c r="AY20" i="170" s="1"/>
  <c r="AX19" i="170"/>
  <c r="AW19" i="170"/>
  <c r="AV19" i="170"/>
  <c r="AU19" i="170"/>
  <c r="AT19" i="170"/>
  <c r="AS19" i="170"/>
  <c r="AR19" i="170"/>
  <c r="AQ19" i="170"/>
  <c r="AP19" i="170"/>
  <c r="AO19" i="170"/>
  <c r="AN19" i="170"/>
  <c r="AM19" i="170"/>
  <c r="AL19" i="170"/>
  <c r="AK19" i="170"/>
  <c r="AJ19" i="170"/>
  <c r="AI19" i="170"/>
  <c r="AH19" i="170"/>
  <c r="AG19" i="170"/>
  <c r="AF19" i="170"/>
  <c r="AE19" i="170"/>
  <c r="AD19" i="170"/>
  <c r="AC19" i="170"/>
  <c r="AB19" i="170"/>
  <c r="AA19" i="170"/>
  <c r="Z19" i="170"/>
  <c r="B18" i="170"/>
  <c r="B17" i="170"/>
  <c r="B16" i="170"/>
  <c r="B14" i="170"/>
  <c r="B13" i="170"/>
  <c r="A10" i="170"/>
  <c r="A9" i="170"/>
  <c r="B4" i="170"/>
  <c r="D1" i="170"/>
  <c r="E1" i="170" s="1"/>
  <c r="F1" i="170" s="1"/>
  <c r="G1" i="170" s="1"/>
  <c r="H1" i="170" s="1"/>
  <c r="I1" i="170" s="1"/>
  <c r="J1" i="170" s="1"/>
  <c r="K1" i="170" s="1"/>
  <c r="L1" i="170" s="1"/>
  <c r="M1" i="170" s="1"/>
  <c r="N1" i="170" s="1"/>
  <c r="O1" i="170" s="1"/>
  <c r="P1" i="170" s="1"/>
  <c r="Q1" i="170" s="1"/>
  <c r="R1" i="170" s="1"/>
  <c r="S1" i="170" s="1"/>
  <c r="T1" i="170" s="1"/>
  <c r="U1" i="170" s="1"/>
  <c r="V1" i="170" s="1"/>
  <c r="W1" i="170" s="1"/>
  <c r="X1" i="170" s="1"/>
  <c r="Y1" i="170" s="1"/>
  <c r="Z1" i="170" s="1"/>
  <c r="AA1" i="170" s="1"/>
  <c r="AB1" i="170" s="1"/>
  <c r="AC1" i="170" s="1"/>
  <c r="AD1" i="170" s="1"/>
  <c r="AE1" i="170" s="1"/>
  <c r="AF1" i="170" s="1"/>
  <c r="AG1" i="170" s="1"/>
  <c r="AH1" i="170" s="1"/>
  <c r="AI1" i="170" s="1"/>
  <c r="AJ1" i="170" s="1"/>
  <c r="AK1" i="170" s="1"/>
  <c r="AL1" i="170" s="1"/>
  <c r="AM1" i="170" s="1"/>
  <c r="AN1" i="170" s="1"/>
  <c r="AO1" i="170" s="1"/>
  <c r="AP1" i="170" s="1"/>
  <c r="AQ1" i="170" s="1"/>
  <c r="AR1" i="170" s="1"/>
  <c r="AS1" i="170" s="1"/>
  <c r="AT1" i="170" s="1"/>
  <c r="AU1" i="170" s="1"/>
  <c r="AV1" i="170" s="1"/>
  <c r="AW1" i="170" s="1"/>
  <c r="AX1" i="170" s="1"/>
  <c r="AY1" i="170" s="1"/>
  <c r="AZ1" i="170" s="1"/>
  <c r="BA1" i="170" s="1"/>
  <c r="BB1" i="170" s="1"/>
  <c r="BC1" i="170" s="1"/>
  <c r="BD1" i="170" s="1"/>
  <c r="BE1" i="170" s="1"/>
  <c r="BF1" i="170" s="1"/>
  <c r="BG1" i="170" s="1"/>
  <c r="BH1" i="170" s="1"/>
  <c r="BI1" i="170" s="1"/>
  <c r="B128" i="168"/>
  <c r="B108" i="168"/>
  <c r="B88" i="168"/>
  <c r="A87" i="168"/>
  <c r="A97" i="168" s="1"/>
  <c r="A107" i="168" s="1"/>
  <c r="A117" i="168" s="1"/>
  <c r="A86" i="168"/>
  <c r="A96" i="168" s="1"/>
  <c r="A106" i="168" s="1"/>
  <c r="A116" i="168" s="1"/>
  <c r="A85" i="168"/>
  <c r="A95" i="168" s="1"/>
  <c r="A105" i="168" s="1"/>
  <c r="A115" i="168" s="1"/>
  <c r="A84" i="168"/>
  <c r="A94" i="168" s="1"/>
  <c r="A104" i="168" s="1"/>
  <c r="A114" i="168" s="1"/>
  <c r="A83" i="168"/>
  <c r="A93" i="168" s="1"/>
  <c r="A103" i="168" s="1"/>
  <c r="A113" i="168" s="1"/>
  <c r="A82" i="168"/>
  <c r="A92" i="168" s="1"/>
  <c r="A102" i="168" s="1"/>
  <c r="A112" i="168" s="1"/>
  <c r="A81" i="168"/>
  <c r="A91" i="168" s="1"/>
  <c r="A101" i="168" s="1"/>
  <c r="A111" i="168" s="1"/>
  <c r="A80" i="168"/>
  <c r="A90" i="168" s="1"/>
  <c r="A100" i="168" s="1"/>
  <c r="A110" i="168" s="1"/>
  <c r="A79" i="168"/>
  <c r="A89" i="168" s="1"/>
  <c r="A99" i="168" s="1"/>
  <c r="A109" i="168" s="1"/>
  <c r="B78" i="168"/>
  <c r="B58" i="168"/>
  <c r="A47" i="168"/>
  <c r="A46" i="168"/>
  <c r="A56" i="168" s="1"/>
  <c r="A66" i="168" s="1"/>
  <c r="A45" i="168"/>
  <c r="A55" i="168" s="1"/>
  <c r="A65" i="168" s="1"/>
  <c r="A44" i="168"/>
  <c r="A54" i="168" s="1"/>
  <c r="A64" i="168" s="1"/>
  <c r="A43" i="168"/>
  <c r="A53" i="168" s="1"/>
  <c r="A63" i="168" s="1"/>
  <c r="A42" i="168"/>
  <c r="A52" i="168" s="1"/>
  <c r="A62" i="168" s="1"/>
  <c r="A41" i="168"/>
  <c r="A51" i="168" s="1"/>
  <c r="A61" i="168" s="1"/>
  <c r="A40" i="168"/>
  <c r="A50" i="168" s="1"/>
  <c r="A60" i="168" s="1"/>
  <c r="A39" i="168"/>
  <c r="A49" i="168" s="1"/>
  <c r="A59" i="168" s="1"/>
  <c r="B38" i="168"/>
  <c r="BD25" i="168"/>
  <c r="BC25" i="168"/>
  <c r="BB25" i="168"/>
  <c r="BA25" i="168"/>
  <c r="AZ25" i="168"/>
  <c r="AY25" i="168"/>
  <c r="AX25" i="168"/>
  <c r="AW25" i="168"/>
  <c r="AV25" i="168"/>
  <c r="AU25" i="168"/>
  <c r="AT25" i="168"/>
  <c r="AS25" i="168"/>
  <c r="AR25" i="168"/>
  <c r="AQ25" i="168"/>
  <c r="AP25" i="168"/>
  <c r="AO25" i="168"/>
  <c r="AN25" i="168"/>
  <c r="AM25" i="168"/>
  <c r="AL25" i="168"/>
  <c r="AK25" i="168"/>
  <c r="AJ25" i="168"/>
  <c r="AI25" i="168"/>
  <c r="AH25" i="168"/>
  <c r="AG25" i="168"/>
  <c r="AF25" i="168"/>
  <c r="AE25" i="168"/>
  <c r="AD25" i="168"/>
  <c r="AC25" i="168"/>
  <c r="AB25" i="168"/>
  <c r="AA25" i="168"/>
  <c r="Z25" i="168"/>
  <c r="Y25" i="168"/>
  <c r="X25" i="168"/>
  <c r="W25" i="168"/>
  <c r="V25" i="168"/>
  <c r="U25" i="168"/>
  <c r="T25" i="168"/>
  <c r="S25" i="168"/>
  <c r="R25" i="168"/>
  <c r="Q25" i="168"/>
  <c r="P25" i="168"/>
  <c r="O25" i="168"/>
  <c r="N25" i="168"/>
  <c r="M25" i="168"/>
  <c r="L25" i="168"/>
  <c r="K25" i="168"/>
  <c r="J25" i="168"/>
  <c r="I25" i="168"/>
  <c r="H25" i="168"/>
  <c r="G25" i="168"/>
  <c r="F25" i="168"/>
  <c r="E25" i="168"/>
  <c r="D25" i="168"/>
  <c r="C25" i="168"/>
  <c r="BD24" i="168"/>
  <c r="BC24" i="168"/>
  <c r="BB24" i="168"/>
  <c r="BA24" i="168"/>
  <c r="AZ24" i="168"/>
  <c r="AY24" i="168"/>
  <c r="AX24" i="168"/>
  <c r="AW24" i="168"/>
  <c r="AV24" i="168"/>
  <c r="AU24" i="168"/>
  <c r="AT24" i="168"/>
  <c r="AS24" i="168"/>
  <c r="AS26" i="168" s="1"/>
  <c r="AR24" i="168"/>
  <c r="AQ24" i="168"/>
  <c r="AP24" i="168"/>
  <c r="AO24" i="168"/>
  <c r="AN24" i="168"/>
  <c r="AM24" i="168"/>
  <c r="AL24" i="168"/>
  <c r="AK24" i="168"/>
  <c r="AJ24" i="168"/>
  <c r="AI24" i="168"/>
  <c r="AH24" i="168"/>
  <c r="AG24" i="168"/>
  <c r="AF24" i="168"/>
  <c r="AE24" i="168"/>
  <c r="AD24" i="168"/>
  <c r="AC24" i="168"/>
  <c r="AC26" i="168" s="1"/>
  <c r="AB24" i="168"/>
  <c r="AA24" i="168"/>
  <c r="Z24" i="168"/>
  <c r="Y24" i="168"/>
  <c r="X24" i="168"/>
  <c r="W24" i="168"/>
  <c r="V24" i="168"/>
  <c r="U24" i="168"/>
  <c r="T24" i="168"/>
  <c r="S24" i="168"/>
  <c r="R24" i="168"/>
  <c r="Q24" i="168"/>
  <c r="P24" i="168"/>
  <c r="O24" i="168"/>
  <c r="N24" i="168"/>
  <c r="M24" i="168"/>
  <c r="L24" i="168"/>
  <c r="K24" i="168"/>
  <c r="J24" i="168"/>
  <c r="I24" i="168"/>
  <c r="H24" i="168"/>
  <c r="G24" i="168"/>
  <c r="F24" i="168"/>
  <c r="E24" i="168"/>
  <c r="D24" i="168"/>
  <c r="C24" i="168"/>
  <c r="BD23" i="168"/>
  <c r="BC23" i="168"/>
  <c r="BB23" i="168"/>
  <c r="BA23" i="168"/>
  <c r="AZ23" i="168"/>
  <c r="AY23" i="168"/>
  <c r="AX23" i="168"/>
  <c r="AW23" i="168"/>
  <c r="AV23" i="168"/>
  <c r="AU23" i="168"/>
  <c r="AT23" i="168"/>
  <c r="AS23" i="168"/>
  <c r="AR23" i="168"/>
  <c r="AQ23" i="168"/>
  <c r="AP23" i="168"/>
  <c r="AO23" i="168"/>
  <c r="AN23" i="168"/>
  <c r="AM23" i="168"/>
  <c r="AL23" i="168"/>
  <c r="AK23" i="168"/>
  <c r="AJ23" i="168"/>
  <c r="AI23" i="168"/>
  <c r="AH23" i="168"/>
  <c r="AG23" i="168"/>
  <c r="AF23" i="168"/>
  <c r="AE23" i="168"/>
  <c r="AD23" i="168"/>
  <c r="AC23" i="168"/>
  <c r="AB23" i="168"/>
  <c r="AA23" i="168"/>
  <c r="Z23" i="168"/>
  <c r="Y23" i="168"/>
  <c r="X23" i="168"/>
  <c r="W23" i="168"/>
  <c r="V23" i="168"/>
  <c r="U23" i="168"/>
  <c r="T23" i="168"/>
  <c r="S23" i="168"/>
  <c r="R23" i="168"/>
  <c r="Q23" i="168"/>
  <c r="P23" i="168"/>
  <c r="O23" i="168"/>
  <c r="N23" i="168"/>
  <c r="M23" i="168"/>
  <c r="L23" i="168"/>
  <c r="K23" i="168"/>
  <c r="J23" i="168"/>
  <c r="I23" i="168"/>
  <c r="H23" i="168"/>
  <c r="G23" i="168"/>
  <c r="F23" i="168"/>
  <c r="E23" i="168"/>
  <c r="D23" i="168"/>
  <c r="C23" i="168"/>
  <c r="B22" i="168"/>
  <c r="AA20" i="168"/>
  <c r="AB20" i="168" s="1"/>
  <c r="AC20" i="168" s="1"/>
  <c r="AD20" i="168" s="1"/>
  <c r="AE20" i="168" s="1"/>
  <c r="AF20" i="168" s="1"/>
  <c r="AG20" i="168" s="1"/>
  <c r="AH20" i="168" s="1"/>
  <c r="AI20" i="168" s="1"/>
  <c r="AJ20" i="168" s="1"/>
  <c r="AK20" i="168" s="1"/>
  <c r="AL20" i="168" s="1"/>
  <c r="AM20" i="168" s="1"/>
  <c r="AN20" i="168" s="1"/>
  <c r="AO20" i="168" s="1"/>
  <c r="AP20" i="168" s="1"/>
  <c r="AQ20" i="168" s="1"/>
  <c r="AR20" i="168" s="1"/>
  <c r="AS20" i="168" s="1"/>
  <c r="AT20" i="168" s="1"/>
  <c r="AU20" i="168" s="1"/>
  <c r="AV20" i="168" s="1"/>
  <c r="AW20" i="168" s="1"/>
  <c r="AX20" i="168" s="1"/>
  <c r="AY20" i="168" s="1"/>
  <c r="AX19" i="168"/>
  <c r="AW19" i="168"/>
  <c r="AV19" i="168"/>
  <c r="AU19" i="168"/>
  <c r="AT19" i="168"/>
  <c r="AS19" i="168"/>
  <c r="AR19" i="168"/>
  <c r="AQ19" i="168"/>
  <c r="AP19" i="168"/>
  <c r="AO19" i="168"/>
  <c r="AN19" i="168"/>
  <c r="AM19" i="168"/>
  <c r="AL19" i="168"/>
  <c r="AK19" i="168"/>
  <c r="AJ19" i="168"/>
  <c r="AI19" i="168"/>
  <c r="AH19" i="168"/>
  <c r="AG19" i="168"/>
  <c r="AF19" i="168"/>
  <c r="AE19" i="168"/>
  <c r="AD19" i="168"/>
  <c r="AC19" i="168"/>
  <c r="AB19" i="168"/>
  <c r="AA19" i="168"/>
  <c r="Z19" i="168"/>
  <c r="B18" i="168"/>
  <c r="B17" i="168"/>
  <c r="B16" i="168"/>
  <c r="B14" i="168"/>
  <c r="B13" i="168"/>
  <c r="A10" i="168"/>
  <c r="A9" i="168"/>
  <c r="B4" i="168"/>
  <c r="D1" i="168"/>
  <c r="E1" i="168" s="1"/>
  <c r="F1" i="168" s="1"/>
  <c r="G1" i="168" s="1"/>
  <c r="H1" i="168" s="1"/>
  <c r="I1" i="168" s="1"/>
  <c r="J1" i="168" s="1"/>
  <c r="K1" i="168" s="1"/>
  <c r="L1" i="168" s="1"/>
  <c r="M1" i="168" s="1"/>
  <c r="N1" i="168" s="1"/>
  <c r="O1" i="168" s="1"/>
  <c r="P1" i="168" s="1"/>
  <c r="Q1" i="168" s="1"/>
  <c r="R1" i="168" s="1"/>
  <c r="S1" i="168" s="1"/>
  <c r="T1" i="168" s="1"/>
  <c r="U1" i="168" s="1"/>
  <c r="V1" i="168" s="1"/>
  <c r="W1" i="168" s="1"/>
  <c r="X1" i="168" s="1"/>
  <c r="Y1" i="168" s="1"/>
  <c r="Z1" i="168" s="1"/>
  <c r="AA1" i="168" s="1"/>
  <c r="AB1" i="168" s="1"/>
  <c r="AC1" i="168" s="1"/>
  <c r="AD1" i="168" s="1"/>
  <c r="AE1" i="168" s="1"/>
  <c r="AF1" i="168" s="1"/>
  <c r="AG1" i="168" s="1"/>
  <c r="AH1" i="168" s="1"/>
  <c r="AI1" i="168" s="1"/>
  <c r="AJ1" i="168" s="1"/>
  <c r="AK1" i="168" s="1"/>
  <c r="AL1" i="168" s="1"/>
  <c r="AM1" i="168" s="1"/>
  <c r="AN1" i="168" s="1"/>
  <c r="AO1" i="168" s="1"/>
  <c r="AP1" i="168" s="1"/>
  <c r="AQ1" i="168" s="1"/>
  <c r="AR1" i="168" s="1"/>
  <c r="AS1" i="168" s="1"/>
  <c r="AT1" i="168" s="1"/>
  <c r="AU1" i="168" s="1"/>
  <c r="AV1" i="168" s="1"/>
  <c r="AW1" i="168" s="1"/>
  <c r="AX1" i="168" s="1"/>
  <c r="AY1" i="168" s="1"/>
  <c r="AZ1" i="168" s="1"/>
  <c r="BA1" i="168" s="1"/>
  <c r="BB1" i="168" s="1"/>
  <c r="BC1" i="168" s="1"/>
  <c r="BD1" i="168" s="1"/>
  <c r="BE1" i="168" s="1"/>
  <c r="BF1" i="168" s="1"/>
  <c r="BG1" i="168" s="1"/>
  <c r="BH1" i="168" s="1"/>
  <c r="BI1" i="168" s="1"/>
  <c r="AM9" i="166"/>
  <c r="AL9" i="166"/>
  <c r="AK9" i="166"/>
  <c r="AJ9" i="166"/>
  <c r="AI9" i="166"/>
  <c r="AI9" i="174" s="1"/>
  <c r="AH9" i="166"/>
  <c r="AH9" i="168" s="1"/>
  <c r="AG9" i="166"/>
  <c r="AG9" i="168" s="1"/>
  <c r="AF9" i="166"/>
  <c r="AF9" i="168" s="1"/>
  <c r="AE9" i="166"/>
  <c r="AE9" i="170" s="1"/>
  <c r="AD9" i="166"/>
  <c r="AD9" i="170" s="1"/>
  <c r="AC9" i="166"/>
  <c r="AC9" i="172" s="1"/>
  <c r="AB9" i="166"/>
  <c r="AB9" i="172" s="1"/>
  <c r="AA9" i="166"/>
  <c r="AA9" i="174" s="1"/>
  <c r="B128" i="166"/>
  <c r="B118" i="166"/>
  <c r="B108" i="166"/>
  <c r="B98" i="166"/>
  <c r="B88" i="166"/>
  <c r="A87" i="166"/>
  <c r="A97" i="166" s="1"/>
  <c r="A107" i="166" s="1"/>
  <c r="A117" i="166" s="1"/>
  <c r="A86" i="166"/>
  <c r="A96" i="166" s="1"/>
  <c r="A106" i="166" s="1"/>
  <c r="A116" i="166" s="1"/>
  <c r="A85" i="166"/>
  <c r="A95" i="166" s="1"/>
  <c r="A105" i="166" s="1"/>
  <c r="A115" i="166" s="1"/>
  <c r="A84" i="166"/>
  <c r="A94" i="166" s="1"/>
  <c r="A104" i="166" s="1"/>
  <c r="A114" i="166" s="1"/>
  <c r="A83" i="166"/>
  <c r="A93" i="166" s="1"/>
  <c r="A103" i="166" s="1"/>
  <c r="A113" i="166" s="1"/>
  <c r="A82" i="166"/>
  <c r="A92" i="166" s="1"/>
  <c r="A102" i="166" s="1"/>
  <c r="A112" i="166" s="1"/>
  <c r="A81" i="166"/>
  <c r="A91" i="166" s="1"/>
  <c r="A101" i="166" s="1"/>
  <c r="A111" i="166" s="1"/>
  <c r="A80" i="166"/>
  <c r="A90" i="166" s="1"/>
  <c r="A100" i="166" s="1"/>
  <c r="A110" i="166" s="1"/>
  <c r="A79" i="166"/>
  <c r="A89" i="166" s="1"/>
  <c r="A99" i="166" s="1"/>
  <c r="A109" i="166" s="1"/>
  <c r="B78" i="166"/>
  <c r="B58" i="166"/>
  <c r="A47" i="166"/>
  <c r="A57" i="166" s="1"/>
  <c r="A67" i="166" s="1"/>
  <c r="A46" i="166"/>
  <c r="A56" i="166" s="1"/>
  <c r="A66" i="166" s="1"/>
  <c r="A45" i="166"/>
  <c r="A55" i="166" s="1"/>
  <c r="A65" i="166" s="1"/>
  <c r="A44" i="166"/>
  <c r="A54" i="166" s="1"/>
  <c r="A64" i="166" s="1"/>
  <c r="A43" i="166"/>
  <c r="A53" i="166" s="1"/>
  <c r="A63" i="166" s="1"/>
  <c r="A42" i="166"/>
  <c r="A52" i="166" s="1"/>
  <c r="A62" i="166" s="1"/>
  <c r="A41" i="166"/>
  <c r="A51" i="166" s="1"/>
  <c r="A61" i="166" s="1"/>
  <c r="A40" i="166"/>
  <c r="A50" i="166" s="1"/>
  <c r="A60" i="166" s="1"/>
  <c r="A39" i="166"/>
  <c r="A49" i="166" s="1"/>
  <c r="A59" i="166" s="1"/>
  <c r="B38" i="166"/>
  <c r="BD25" i="166"/>
  <c r="BC25" i="166"/>
  <c r="BB25" i="166"/>
  <c r="BA25" i="166"/>
  <c r="AZ25" i="166"/>
  <c r="AY25" i="166"/>
  <c r="AX25" i="166"/>
  <c r="AW25" i="166"/>
  <c r="AV25" i="166"/>
  <c r="AU25" i="166"/>
  <c r="AT25" i="166"/>
  <c r="AS25" i="166"/>
  <c r="AR25" i="166"/>
  <c r="AQ25" i="166"/>
  <c r="AP25" i="166"/>
  <c r="AO25" i="166"/>
  <c r="AN25" i="166"/>
  <c r="AM25" i="166"/>
  <c r="AL25" i="166"/>
  <c r="AK25" i="166"/>
  <c r="AJ25" i="166"/>
  <c r="AI25" i="166"/>
  <c r="AH25" i="166"/>
  <c r="AG25" i="166"/>
  <c r="AF25" i="166"/>
  <c r="AE25" i="166"/>
  <c r="AD25" i="166"/>
  <c r="AC25" i="166"/>
  <c r="AB25" i="166"/>
  <c r="AA25" i="166"/>
  <c r="Z25" i="166"/>
  <c r="Y25" i="166"/>
  <c r="X25" i="166"/>
  <c r="W25" i="166"/>
  <c r="V25" i="166"/>
  <c r="U25" i="166"/>
  <c r="T25" i="166"/>
  <c r="S25" i="166"/>
  <c r="R25" i="166"/>
  <c r="Q25" i="166"/>
  <c r="P25" i="166"/>
  <c r="O25" i="166"/>
  <c r="N25" i="166"/>
  <c r="M25" i="166"/>
  <c r="L25" i="166"/>
  <c r="K25" i="166"/>
  <c r="J25" i="166"/>
  <c r="I25" i="166"/>
  <c r="H25" i="166"/>
  <c r="G25" i="166"/>
  <c r="F25" i="166"/>
  <c r="E25" i="166"/>
  <c r="D25" i="166"/>
  <c r="C25" i="166"/>
  <c r="BD24" i="166"/>
  <c r="BD26" i="166" s="1"/>
  <c r="BC24" i="166"/>
  <c r="BB24" i="166"/>
  <c r="BB26" i="166" s="1"/>
  <c r="BA24" i="166"/>
  <c r="AZ24" i="166"/>
  <c r="AY24" i="166"/>
  <c r="AX24" i="166"/>
  <c r="AW24" i="166"/>
  <c r="AW26" i="166" s="1"/>
  <c r="AV24" i="166"/>
  <c r="AU24" i="166"/>
  <c r="AT24" i="166"/>
  <c r="AT26" i="166" s="1"/>
  <c r="AS24" i="166"/>
  <c r="AR24" i="166"/>
  <c r="AQ24" i="166"/>
  <c r="AP24" i="166"/>
  <c r="AO24" i="166"/>
  <c r="AO26" i="166" s="1"/>
  <c r="AN24" i="166"/>
  <c r="AN26" i="166" s="1"/>
  <c r="AM24" i="166"/>
  <c r="AL24" i="166"/>
  <c r="AL26" i="166" s="1"/>
  <c r="AK24" i="166"/>
  <c r="AJ24" i="166"/>
  <c r="AI24" i="166"/>
  <c r="AH24" i="166"/>
  <c r="AG24" i="166"/>
  <c r="AG26" i="166" s="1"/>
  <c r="AF24" i="166"/>
  <c r="AF26" i="166" s="1"/>
  <c r="AE24" i="166"/>
  <c r="AD24" i="166"/>
  <c r="AD26" i="166" s="1"/>
  <c r="AC24" i="166"/>
  <c r="AB24" i="166"/>
  <c r="AA24" i="166"/>
  <c r="Z24" i="166"/>
  <c r="Y24" i="166"/>
  <c r="Y26" i="166" s="1"/>
  <c r="X24" i="166"/>
  <c r="X26" i="166" s="1"/>
  <c r="W24" i="166"/>
  <c r="V24" i="166"/>
  <c r="V26" i="166" s="1"/>
  <c r="U24" i="166"/>
  <c r="T24" i="166"/>
  <c r="S24" i="166"/>
  <c r="R24" i="166"/>
  <c r="Q24" i="166"/>
  <c r="Q26" i="166" s="1"/>
  <c r="P24" i="166"/>
  <c r="P26" i="166" s="1"/>
  <c r="O24" i="166"/>
  <c r="N24" i="166"/>
  <c r="N26" i="166" s="1"/>
  <c r="M24" i="166"/>
  <c r="L24" i="166"/>
  <c r="K24" i="166"/>
  <c r="J24" i="166"/>
  <c r="I24" i="166"/>
  <c r="I26" i="166" s="1"/>
  <c r="H24" i="166"/>
  <c r="H26" i="166" s="1"/>
  <c r="G24" i="166"/>
  <c r="F24" i="166"/>
  <c r="F26" i="166" s="1"/>
  <c r="E24" i="166"/>
  <c r="D24" i="166"/>
  <c r="C24" i="166"/>
  <c r="BD23" i="166"/>
  <c r="BC23" i="166"/>
  <c r="BB23" i="166"/>
  <c r="BA23" i="166"/>
  <c r="AZ23" i="166"/>
  <c r="AY23" i="166"/>
  <c r="AX23" i="166"/>
  <c r="AW23" i="166"/>
  <c r="AV23" i="166"/>
  <c r="AU23" i="166"/>
  <c r="AT23" i="166"/>
  <c r="AS23" i="166"/>
  <c r="AR23" i="166"/>
  <c r="AQ23" i="166"/>
  <c r="AP23" i="166"/>
  <c r="AO23" i="166"/>
  <c r="AN23" i="166"/>
  <c r="AM23" i="166"/>
  <c r="AL23" i="166"/>
  <c r="AK23" i="166"/>
  <c r="AJ23" i="166"/>
  <c r="AI23" i="166"/>
  <c r="AH23" i="166"/>
  <c r="AG23" i="166"/>
  <c r="AF23" i="166"/>
  <c r="AE23" i="166"/>
  <c r="AD23" i="166"/>
  <c r="AC23" i="166"/>
  <c r="AB23" i="166"/>
  <c r="AA23" i="166"/>
  <c r="Z23" i="166"/>
  <c r="Y23" i="166"/>
  <c r="X23" i="166"/>
  <c r="W23" i="166"/>
  <c r="V23" i="166"/>
  <c r="U23" i="166"/>
  <c r="T23" i="166"/>
  <c r="S23" i="166"/>
  <c r="R23" i="166"/>
  <c r="Q23" i="166"/>
  <c r="P23" i="166"/>
  <c r="O23" i="166"/>
  <c r="N23" i="166"/>
  <c r="M23" i="166"/>
  <c r="L23" i="166"/>
  <c r="K23" i="166"/>
  <c r="J23" i="166"/>
  <c r="I23" i="166"/>
  <c r="H23" i="166"/>
  <c r="G23" i="166"/>
  <c r="F23" i="166"/>
  <c r="E23" i="166"/>
  <c r="D23" i="166"/>
  <c r="C23" i="166"/>
  <c r="B22" i="166"/>
  <c r="AA20" i="166"/>
  <c r="AB20" i="166" s="1"/>
  <c r="AC20" i="166" s="1"/>
  <c r="AD20" i="166" s="1"/>
  <c r="AE20" i="166" s="1"/>
  <c r="AF20" i="166" s="1"/>
  <c r="AG20" i="166" s="1"/>
  <c r="AH20" i="166" s="1"/>
  <c r="AI20" i="166" s="1"/>
  <c r="AJ20" i="166" s="1"/>
  <c r="AK20" i="166" s="1"/>
  <c r="AL20" i="166" s="1"/>
  <c r="AM20" i="166" s="1"/>
  <c r="AN20" i="166" s="1"/>
  <c r="AO20" i="166" s="1"/>
  <c r="AP20" i="166" s="1"/>
  <c r="AQ20" i="166" s="1"/>
  <c r="AR20" i="166" s="1"/>
  <c r="AS20" i="166" s="1"/>
  <c r="AT20" i="166" s="1"/>
  <c r="AU20" i="166" s="1"/>
  <c r="AV20" i="166" s="1"/>
  <c r="AW19" i="166"/>
  <c r="AV19" i="166"/>
  <c r="AU19" i="166"/>
  <c r="AT19" i="166"/>
  <c r="AS19" i="166"/>
  <c r="AR19" i="166"/>
  <c r="AQ19" i="166"/>
  <c r="AP19" i="166"/>
  <c r="AO19" i="166"/>
  <c r="AN19" i="166"/>
  <c r="AM19" i="166"/>
  <c r="AL19" i="166"/>
  <c r="AK19" i="166"/>
  <c r="AJ19" i="166"/>
  <c r="AI19" i="166"/>
  <c r="AH19" i="166"/>
  <c r="AG19" i="166"/>
  <c r="AF19" i="166"/>
  <c r="AE19" i="166"/>
  <c r="AD19" i="166"/>
  <c r="AC19" i="166"/>
  <c r="AB19" i="166"/>
  <c r="AA19" i="166"/>
  <c r="Z19" i="166"/>
  <c r="B18" i="166"/>
  <c r="B17" i="166"/>
  <c r="B16" i="166"/>
  <c r="B14" i="166"/>
  <c r="B13" i="166"/>
  <c r="A10" i="166"/>
  <c r="A9" i="166"/>
  <c r="B4" i="166"/>
  <c r="D1" i="166"/>
  <c r="E1" i="166" s="1"/>
  <c r="F1" i="166" s="1"/>
  <c r="G1" i="166" s="1"/>
  <c r="H1" i="166" s="1"/>
  <c r="I1" i="166" s="1"/>
  <c r="J1" i="166" s="1"/>
  <c r="K1" i="166" s="1"/>
  <c r="L1" i="166" s="1"/>
  <c r="M1" i="166" s="1"/>
  <c r="N1" i="166" s="1"/>
  <c r="O1" i="166" s="1"/>
  <c r="P1" i="166" s="1"/>
  <c r="Q1" i="166" s="1"/>
  <c r="R1" i="166" s="1"/>
  <c r="S1" i="166" s="1"/>
  <c r="T1" i="166" s="1"/>
  <c r="U1" i="166" s="1"/>
  <c r="V1" i="166" s="1"/>
  <c r="W1" i="166" s="1"/>
  <c r="X1" i="166" s="1"/>
  <c r="Y1" i="166" s="1"/>
  <c r="Z1" i="166" s="1"/>
  <c r="AA1" i="166" s="1"/>
  <c r="AB1" i="166" s="1"/>
  <c r="AC1" i="166" s="1"/>
  <c r="AD1" i="166" s="1"/>
  <c r="AE1" i="166" s="1"/>
  <c r="AF1" i="166" s="1"/>
  <c r="AG1" i="166" s="1"/>
  <c r="AH1" i="166" s="1"/>
  <c r="AI1" i="166" s="1"/>
  <c r="AJ1" i="166" s="1"/>
  <c r="AK1" i="166" s="1"/>
  <c r="AL1" i="166" s="1"/>
  <c r="AM1" i="166" s="1"/>
  <c r="AN1" i="166" s="1"/>
  <c r="AO1" i="166" s="1"/>
  <c r="AP1" i="166" s="1"/>
  <c r="AQ1" i="166" s="1"/>
  <c r="AR1" i="166" s="1"/>
  <c r="AS1" i="166" s="1"/>
  <c r="AT1" i="166" s="1"/>
  <c r="AU1" i="166" s="1"/>
  <c r="AV1" i="166" s="1"/>
  <c r="AW1" i="166" s="1"/>
  <c r="AX1" i="166" s="1"/>
  <c r="AY1" i="166" s="1"/>
  <c r="AZ1" i="166" s="1"/>
  <c r="BA1" i="166" s="1"/>
  <c r="BB1" i="166" s="1"/>
  <c r="BC1" i="166" s="1"/>
  <c r="BD1" i="166" s="1"/>
  <c r="BE1" i="166" s="1"/>
  <c r="BF1" i="166" s="1"/>
  <c r="BG1" i="166" s="1"/>
  <c r="BH1" i="166" s="1"/>
  <c r="BI1" i="166" s="1"/>
  <c r="F26" i="170" l="1"/>
  <c r="N26" i="170"/>
  <c r="V26" i="170"/>
  <c r="K26" i="168"/>
  <c r="AA26" i="168"/>
  <c r="AQ26" i="168"/>
  <c r="C26" i="168"/>
  <c r="S26" i="168"/>
  <c r="AI26" i="168"/>
  <c r="AY26" i="168"/>
  <c r="I26" i="168"/>
  <c r="Q26" i="168"/>
  <c r="AG26" i="168"/>
  <c r="AO26" i="168"/>
  <c r="AW26" i="168"/>
  <c r="L26" i="168"/>
  <c r="T26" i="168"/>
  <c r="AR26" i="168"/>
  <c r="AZ26" i="168"/>
  <c r="K26" i="174"/>
  <c r="S26" i="174"/>
  <c r="AA26" i="174"/>
  <c r="AI26" i="174"/>
  <c r="AQ26" i="174"/>
  <c r="AY26" i="174"/>
  <c r="D26" i="172"/>
  <c r="L26" i="172"/>
  <c r="T26" i="172"/>
  <c r="Z26" i="172"/>
  <c r="AH26" i="172"/>
  <c r="AP26" i="172"/>
  <c r="AX26" i="172"/>
  <c r="C26" i="172"/>
  <c r="K26" i="172"/>
  <c r="AZ26" i="172"/>
  <c r="J26" i="170"/>
  <c r="R26" i="170"/>
  <c r="S26" i="170"/>
  <c r="AE26" i="168"/>
  <c r="BC26" i="168"/>
  <c r="H26" i="168"/>
  <c r="AF26" i="172"/>
  <c r="AQ26" i="172"/>
  <c r="BC26" i="172"/>
  <c r="B23" i="170"/>
  <c r="B25" i="174"/>
  <c r="B19" i="174"/>
  <c r="D26" i="174"/>
  <c r="L26" i="174"/>
  <c r="T26" i="174"/>
  <c r="AB26" i="174"/>
  <c r="AJ26" i="174"/>
  <c r="AR26" i="174"/>
  <c r="AZ26" i="174"/>
  <c r="C27" i="172"/>
  <c r="D27" i="172" s="1"/>
  <c r="E27" i="172" s="1"/>
  <c r="F27" i="172" s="1"/>
  <c r="G27" i="172" s="1"/>
  <c r="H27" i="172" s="1"/>
  <c r="I27" i="172" s="1"/>
  <c r="J27" i="172" s="1"/>
  <c r="K27" i="172" s="1"/>
  <c r="L27" i="172" s="1"/>
  <c r="M27" i="172" s="1"/>
  <c r="N27" i="172" s="1"/>
  <c r="O27" i="172" s="1"/>
  <c r="P27" i="172" s="1"/>
  <c r="Q27" i="172" s="1"/>
  <c r="R27" i="172" s="1"/>
  <c r="S27" i="172" s="1"/>
  <c r="T27" i="172" s="1"/>
  <c r="U27" i="172" s="1"/>
  <c r="V27" i="172" s="1"/>
  <c r="W27" i="172" s="1"/>
  <c r="X27" i="172" s="1"/>
  <c r="Y27" i="172" s="1"/>
  <c r="Z27" i="172" s="1"/>
  <c r="AA27" i="172" s="1"/>
  <c r="AB27" i="172" s="1"/>
  <c r="AC27" i="172" s="1"/>
  <c r="AD27" i="172" s="1"/>
  <c r="AE27" i="172" s="1"/>
  <c r="AF27" i="172" s="1"/>
  <c r="AG27" i="172" s="1"/>
  <c r="AH27" i="172" s="1"/>
  <c r="AI27" i="172" s="1"/>
  <c r="AJ27" i="172" s="1"/>
  <c r="AK27" i="172" s="1"/>
  <c r="AL27" i="172" s="1"/>
  <c r="AM27" i="172" s="1"/>
  <c r="AN27" i="172" s="1"/>
  <c r="AO27" i="172" s="1"/>
  <c r="AP27" i="172" s="1"/>
  <c r="AQ27" i="172" s="1"/>
  <c r="AR27" i="172" s="1"/>
  <c r="AS27" i="172" s="1"/>
  <c r="AT27" i="172" s="1"/>
  <c r="AU27" i="172" s="1"/>
  <c r="AV27" i="172" s="1"/>
  <c r="AW27" i="172" s="1"/>
  <c r="AX27" i="172" s="1"/>
  <c r="AY27" i="172" s="1"/>
  <c r="AZ27" i="172" s="1"/>
  <c r="BA27" i="172" s="1"/>
  <c r="BB27" i="172" s="1"/>
  <c r="BC27" i="172" s="1"/>
  <c r="BD27" i="172" s="1"/>
  <c r="B19" i="172"/>
  <c r="I26" i="170"/>
  <c r="Q26" i="170"/>
  <c r="Y26" i="170"/>
  <c r="AG26" i="170"/>
  <c r="AO26" i="170"/>
  <c r="AW26" i="170"/>
  <c r="B19" i="170"/>
  <c r="H26" i="170"/>
  <c r="P26" i="170"/>
  <c r="X26" i="170"/>
  <c r="AF26" i="170"/>
  <c r="AN26" i="170"/>
  <c r="AV26" i="170"/>
  <c r="BD26" i="170"/>
  <c r="G26" i="170"/>
  <c r="O26" i="170"/>
  <c r="W26" i="170"/>
  <c r="AE26" i="170"/>
  <c r="AM26" i="170"/>
  <c r="AU26" i="170"/>
  <c r="BC26" i="170"/>
  <c r="B24" i="170"/>
  <c r="M26" i="168"/>
  <c r="B19" i="168"/>
  <c r="B25" i="168"/>
  <c r="AJ26" i="168"/>
  <c r="C27" i="166"/>
  <c r="D27" i="166" s="1"/>
  <c r="E27" i="166" s="1"/>
  <c r="E26" i="166"/>
  <c r="M26" i="166"/>
  <c r="U26" i="166"/>
  <c r="AS26" i="166"/>
  <c r="BA26" i="166"/>
  <c r="J26" i="166"/>
  <c r="R26" i="166"/>
  <c r="Z26" i="166"/>
  <c r="AH26" i="166"/>
  <c r="AP26" i="166"/>
  <c r="AX26" i="166"/>
  <c r="F27" i="166"/>
  <c r="G27" i="166" s="1"/>
  <c r="H27" i="166" s="1"/>
  <c r="I27" i="166" s="1"/>
  <c r="J27" i="166" s="1"/>
  <c r="K27" i="166" s="1"/>
  <c r="L27" i="166" s="1"/>
  <c r="M27" i="166" s="1"/>
  <c r="N27" i="166" s="1"/>
  <c r="O27" i="166" s="1"/>
  <c r="P27" i="166" s="1"/>
  <c r="Q27" i="166" s="1"/>
  <c r="R27" i="166" s="1"/>
  <c r="S27" i="166" s="1"/>
  <c r="T27" i="166" s="1"/>
  <c r="U27" i="166" s="1"/>
  <c r="V27" i="166" s="1"/>
  <c r="W27" i="166" s="1"/>
  <c r="X27" i="166" s="1"/>
  <c r="Y27" i="166" s="1"/>
  <c r="Z27" i="166" s="1"/>
  <c r="AA27" i="166" s="1"/>
  <c r="AB27" i="166" s="1"/>
  <c r="AC27" i="166" s="1"/>
  <c r="AD27" i="166" s="1"/>
  <c r="AE27" i="166" s="1"/>
  <c r="AF27" i="166" s="1"/>
  <c r="AG27" i="166" s="1"/>
  <c r="AH27" i="166" s="1"/>
  <c r="AI27" i="166" s="1"/>
  <c r="AJ27" i="166" s="1"/>
  <c r="AK27" i="166" s="1"/>
  <c r="AL27" i="166" s="1"/>
  <c r="AM27" i="166" s="1"/>
  <c r="AN27" i="166" s="1"/>
  <c r="AO27" i="166" s="1"/>
  <c r="AP27" i="166" s="1"/>
  <c r="AQ27" i="166" s="1"/>
  <c r="AR27" i="166" s="1"/>
  <c r="AS27" i="166" s="1"/>
  <c r="AT27" i="166" s="1"/>
  <c r="AU27" i="166" s="1"/>
  <c r="AV27" i="166" s="1"/>
  <c r="AW27" i="166" s="1"/>
  <c r="AX27" i="166" s="1"/>
  <c r="AY27" i="166" s="1"/>
  <c r="AZ27" i="166" s="1"/>
  <c r="BA27" i="166" s="1"/>
  <c r="BB27" i="166" s="1"/>
  <c r="BC27" i="166" s="1"/>
  <c r="BD27" i="166" s="1"/>
  <c r="AV26" i="166"/>
  <c r="AC26" i="166"/>
  <c r="B19" i="166"/>
  <c r="B24" i="166"/>
  <c r="G26" i="166"/>
  <c r="O26" i="166"/>
  <c r="W26" i="166"/>
  <c r="AE26" i="166"/>
  <c r="AM26" i="166"/>
  <c r="AU26" i="166"/>
  <c r="BC26" i="166"/>
  <c r="B25" i="166"/>
  <c r="AE9" i="168"/>
  <c r="AC9" i="170"/>
  <c r="AI9" i="172"/>
  <c r="AA9" i="172"/>
  <c r="AH9" i="174"/>
  <c r="AD9" i="168"/>
  <c r="AB9" i="170"/>
  <c r="AH9" i="172"/>
  <c r="AG9" i="174"/>
  <c r="AC9" i="168"/>
  <c r="AI9" i="170"/>
  <c r="AA9" i="170"/>
  <c r="AG9" i="172"/>
  <c r="AF9" i="174"/>
  <c r="Z9" i="168"/>
  <c r="AB9" i="168"/>
  <c r="AH9" i="170"/>
  <c r="AF9" i="172"/>
  <c r="AE9" i="174"/>
  <c r="AI9" i="168"/>
  <c r="AA9" i="168"/>
  <c r="AG9" i="170"/>
  <c r="AE9" i="172"/>
  <c r="AD9" i="174"/>
  <c r="AF9" i="170"/>
  <c r="AD9" i="172"/>
  <c r="AC9" i="174"/>
  <c r="Z9" i="174"/>
  <c r="AB9" i="174"/>
  <c r="I26" i="174"/>
  <c r="Y26" i="174"/>
  <c r="AG26" i="174"/>
  <c r="AO26" i="174"/>
  <c r="AW26" i="174"/>
  <c r="J26" i="174"/>
  <c r="R26" i="174"/>
  <c r="Z26" i="174"/>
  <c r="AH26" i="174"/>
  <c r="AP26" i="174"/>
  <c r="AX26" i="174"/>
  <c r="B24" i="174"/>
  <c r="A52" i="174"/>
  <c r="A62" i="174" s="1"/>
  <c r="Q26" i="174"/>
  <c r="B23" i="174"/>
  <c r="E26" i="174"/>
  <c r="M26" i="174"/>
  <c r="U26" i="174"/>
  <c r="AC26" i="174"/>
  <c r="AK26" i="174"/>
  <c r="AS26" i="174"/>
  <c r="BA26" i="174"/>
  <c r="F26" i="174"/>
  <c r="N26" i="174"/>
  <c r="V26" i="174"/>
  <c r="AD26" i="174"/>
  <c r="AL26" i="174"/>
  <c r="AT26" i="174"/>
  <c r="BB26" i="174"/>
  <c r="W26" i="174"/>
  <c r="AU26" i="174"/>
  <c r="C27" i="174"/>
  <c r="D27" i="174" s="1"/>
  <c r="E27" i="174" s="1"/>
  <c r="F27" i="174" s="1"/>
  <c r="G27" i="174" s="1"/>
  <c r="H27" i="174" s="1"/>
  <c r="I27" i="174" s="1"/>
  <c r="J27" i="174" s="1"/>
  <c r="K27" i="174" s="1"/>
  <c r="L27" i="174" s="1"/>
  <c r="M27" i="174" s="1"/>
  <c r="N27" i="174" s="1"/>
  <c r="O27" i="174" s="1"/>
  <c r="P27" i="174" s="1"/>
  <c r="Q27" i="174" s="1"/>
  <c r="R27" i="174" s="1"/>
  <c r="S27" i="174" s="1"/>
  <c r="T27" i="174" s="1"/>
  <c r="U27" i="174" s="1"/>
  <c r="V27" i="174" s="1"/>
  <c r="W27" i="174" s="1"/>
  <c r="X27" i="174" s="1"/>
  <c r="Y27" i="174" s="1"/>
  <c r="Z27" i="174" s="1"/>
  <c r="AA27" i="174" s="1"/>
  <c r="AB27" i="174" s="1"/>
  <c r="AC27" i="174" s="1"/>
  <c r="AD27" i="174" s="1"/>
  <c r="AE27" i="174" s="1"/>
  <c r="AF27" i="174" s="1"/>
  <c r="AG27" i="174" s="1"/>
  <c r="AH27" i="174" s="1"/>
  <c r="AI27" i="174" s="1"/>
  <c r="AJ27" i="174" s="1"/>
  <c r="AK27" i="174" s="1"/>
  <c r="AL27" i="174" s="1"/>
  <c r="AM27" i="174" s="1"/>
  <c r="AN27" i="174" s="1"/>
  <c r="AO27" i="174" s="1"/>
  <c r="AP27" i="174" s="1"/>
  <c r="AQ27" i="174" s="1"/>
  <c r="AR27" i="174" s="1"/>
  <c r="AS27" i="174" s="1"/>
  <c r="AT27" i="174" s="1"/>
  <c r="AU27" i="174" s="1"/>
  <c r="AV27" i="174" s="1"/>
  <c r="AW27" i="174" s="1"/>
  <c r="AX27" i="174" s="1"/>
  <c r="AY27" i="174" s="1"/>
  <c r="AZ27" i="174" s="1"/>
  <c r="BA27" i="174" s="1"/>
  <c r="BB27" i="174" s="1"/>
  <c r="BC27" i="174" s="1"/>
  <c r="BD27" i="174" s="1"/>
  <c r="Q132" i="174"/>
  <c r="Q138" i="174" s="1"/>
  <c r="A49" i="174"/>
  <c r="A59" i="174" s="1"/>
  <c r="G26" i="172"/>
  <c r="B24" i="172"/>
  <c r="O26" i="172"/>
  <c r="AE26" i="172"/>
  <c r="AM26" i="172"/>
  <c r="AU26" i="172"/>
  <c r="Y26" i="172"/>
  <c r="B23" i="172"/>
  <c r="H26" i="172"/>
  <c r="P26" i="172"/>
  <c r="X26" i="172"/>
  <c r="AN26" i="172"/>
  <c r="AV26" i="172"/>
  <c r="BD26" i="172"/>
  <c r="B25" i="172"/>
  <c r="Q26" i="172"/>
  <c r="AA26" i="172"/>
  <c r="AW26" i="172"/>
  <c r="E26" i="172"/>
  <c r="M26" i="172"/>
  <c r="U26" i="172"/>
  <c r="AC26" i="172"/>
  <c r="AK26" i="172"/>
  <c r="AS26" i="172"/>
  <c r="BA26" i="172"/>
  <c r="AB26" i="172"/>
  <c r="AI26" i="172"/>
  <c r="N26" i="172"/>
  <c r="V26" i="172"/>
  <c r="AD26" i="172"/>
  <c r="AL26" i="172"/>
  <c r="AT26" i="172"/>
  <c r="BB26" i="172"/>
  <c r="I26" i="172"/>
  <c r="S26" i="172"/>
  <c r="AO26" i="172"/>
  <c r="AY26" i="172"/>
  <c r="A50" i="172"/>
  <c r="A60" i="172" s="1"/>
  <c r="T130" i="172"/>
  <c r="T136" i="172" s="1"/>
  <c r="X134" i="172"/>
  <c r="P134" i="172"/>
  <c r="H134" i="172"/>
  <c r="M132" i="172"/>
  <c r="M138" i="172" s="1"/>
  <c r="E132" i="172"/>
  <c r="E138" i="172" s="1"/>
  <c r="T131" i="172"/>
  <c r="L131" i="172"/>
  <c r="D131" i="172"/>
  <c r="S130" i="172"/>
  <c r="S136" i="172" s="1"/>
  <c r="K130" i="172"/>
  <c r="BC134" i="172"/>
  <c r="W134" i="172"/>
  <c r="O134" i="172"/>
  <c r="G134" i="172"/>
  <c r="T132" i="172"/>
  <c r="T138" i="172" s="1"/>
  <c r="E69" i="123" s="1"/>
  <c r="L132" i="172"/>
  <c r="L138" i="172" s="1"/>
  <c r="D132" i="172"/>
  <c r="D138" i="172" s="1"/>
  <c r="S131" i="172"/>
  <c r="K131" i="172"/>
  <c r="C131" i="172"/>
  <c r="AX130" i="172"/>
  <c r="AP130" i="172"/>
  <c r="R130" i="172"/>
  <c r="J130" i="172"/>
  <c r="BB134" i="172"/>
  <c r="V134" i="172"/>
  <c r="N134" i="172"/>
  <c r="F134" i="172"/>
  <c r="S132" i="172"/>
  <c r="S138" i="172" s="1"/>
  <c r="D69" i="123" s="1"/>
  <c r="K132" i="172"/>
  <c r="K138" i="172" s="1"/>
  <c r="C132" i="172"/>
  <c r="R131" i="172"/>
  <c r="J131" i="172"/>
  <c r="AW130" i="172"/>
  <c r="AO130" i="172"/>
  <c r="Y130" i="172"/>
  <c r="Y136" i="172" s="1"/>
  <c r="Q130" i="172"/>
  <c r="I130" i="172"/>
  <c r="U134" i="172"/>
  <c r="M134" i="172"/>
  <c r="E134" i="172"/>
  <c r="R132" i="172"/>
  <c r="R138" i="172" s="1"/>
  <c r="J132" i="172"/>
  <c r="J138" i="172" s="1"/>
  <c r="Y131" i="172"/>
  <c r="Q131" i="172"/>
  <c r="Q137" i="172" s="1"/>
  <c r="I131" i="172"/>
  <c r="BD130" i="172"/>
  <c r="AV130" i="172"/>
  <c r="AN130" i="172"/>
  <c r="X130" i="172"/>
  <c r="X136" i="172" s="1"/>
  <c r="P130" i="172"/>
  <c r="H130" i="172"/>
  <c r="T134" i="172"/>
  <c r="L134" i="172"/>
  <c r="D134" i="172"/>
  <c r="Y132" i="172"/>
  <c r="Y138" i="172" s="1"/>
  <c r="J69" i="123" s="1"/>
  <c r="Q132" i="172"/>
  <c r="Q138" i="172" s="1"/>
  <c r="I132" i="172"/>
  <c r="I138" i="172" s="1"/>
  <c r="BD131" i="172"/>
  <c r="X131" i="172"/>
  <c r="P131" i="172"/>
  <c r="H131" i="172"/>
  <c r="H137" i="172" s="1"/>
  <c r="BC130" i="172"/>
  <c r="AU130" i="172"/>
  <c r="AM130" i="172"/>
  <c r="W130" i="172"/>
  <c r="W136" i="172" s="1"/>
  <c r="O130" i="172"/>
  <c r="G130" i="172"/>
  <c r="S134" i="172"/>
  <c r="K134" i="172"/>
  <c r="C134" i="172"/>
  <c r="BD132" i="172"/>
  <c r="BD138" i="172" s="1"/>
  <c r="X132" i="172"/>
  <c r="X138" i="172" s="1"/>
  <c r="I69" i="123" s="1"/>
  <c r="P132" i="172"/>
  <c r="P138" i="172" s="1"/>
  <c r="H132" i="172"/>
  <c r="H138" i="172" s="1"/>
  <c r="BC131" i="172"/>
  <c r="W131" i="172"/>
  <c r="O131" i="172"/>
  <c r="G131" i="172"/>
  <c r="G137" i="172" s="1"/>
  <c r="BB130" i="172"/>
  <c r="AT130" i="172"/>
  <c r="AL130" i="172"/>
  <c r="V130" i="172"/>
  <c r="V136" i="172" s="1"/>
  <c r="N130" i="172"/>
  <c r="F130" i="172"/>
  <c r="R134" i="172"/>
  <c r="J134" i="172"/>
  <c r="BC132" i="172"/>
  <c r="BC138" i="172" s="1"/>
  <c r="W132" i="172"/>
  <c r="W138" i="172" s="1"/>
  <c r="H69" i="123" s="1"/>
  <c r="O132" i="172"/>
  <c r="O138" i="172" s="1"/>
  <c r="G132" i="172"/>
  <c r="G138" i="172" s="1"/>
  <c r="BB131" i="172"/>
  <c r="BB137" i="172" s="1"/>
  <c r="V131" i="172"/>
  <c r="V137" i="172" s="1"/>
  <c r="G68" i="123" s="1"/>
  <c r="N131" i="172"/>
  <c r="N137" i="172" s="1"/>
  <c r="F131" i="172"/>
  <c r="BA130" i="172"/>
  <c r="AS130" i="172"/>
  <c r="AK130" i="172"/>
  <c r="U130" i="172"/>
  <c r="U136" i="172" s="1"/>
  <c r="M130" i="172"/>
  <c r="E130" i="172"/>
  <c r="N132" i="172"/>
  <c r="N138" i="172" s="1"/>
  <c r="E131" i="172"/>
  <c r="E133" i="172" s="1"/>
  <c r="Y134" i="172"/>
  <c r="F132" i="172"/>
  <c r="F138" i="172" s="1"/>
  <c r="AZ130" i="172"/>
  <c r="Q134" i="172"/>
  <c r="AR130" i="172"/>
  <c r="I134" i="172"/>
  <c r="BB132" i="172"/>
  <c r="BB138" i="172" s="1"/>
  <c r="AJ130" i="172"/>
  <c r="V132" i="172"/>
  <c r="V138" i="172" s="1"/>
  <c r="G69" i="123" s="1"/>
  <c r="M131" i="172"/>
  <c r="M133" i="172" s="1"/>
  <c r="D130" i="172"/>
  <c r="U131" i="172"/>
  <c r="U137" i="172" s="1"/>
  <c r="F68" i="123" s="1"/>
  <c r="L130" i="172"/>
  <c r="C27" i="170"/>
  <c r="D27" i="170" s="1"/>
  <c r="E27" i="170" s="1"/>
  <c r="F27" i="170" s="1"/>
  <c r="G27" i="170" s="1"/>
  <c r="H27" i="170" s="1"/>
  <c r="I27" i="170" s="1"/>
  <c r="J27" i="170" s="1"/>
  <c r="K27" i="170" s="1"/>
  <c r="L27" i="170" s="1"/>
  <c r="M27" i="170" s="1"/>
  <c r="N27" i="170" s="1"/>
  <c r="O27" i="170" s="1"/>
  <c r="P27" i="170" s="1"/>
  <c r="Q27" i="170" s="1"/>
  <c r="R27" i="170" s="1"/>
  <c r="S27" i="170" s="1"/>
  <c r="T27" i="170" s="1"/>
  <c r="U27" i="170" s="1"/>
  <c r="V27" i="170" s="1"/>
  <c r="W27" i="170" s="1"/>
  <c r="X27" i="170" s="1"/>
  <c r="Y27" i="170" s="1"/>
  <c r="Z27" i="170" s="1"/>
  <c r="AA27" i="170" s="1"/>
  <c r="AB27" i="170" s="1"/>
  <c r="AC27" i="170" s="1"/>
  <c r="AD27" i="170" s="1"/>
  <c r="AE27" i="170" s="1"/>
  <c r="AF27" i="170" s="1"/>
  <c r="AG27" i="170" s="1"/>
  <c r="AH27" i="170" s="1"/>
  <c r="AI27" i="170" s="1"/>
  <c r="AJ27" i="170" s="1"/>
  <c r="AK27" i="170" s="1"/>
  <c r="AL27" i="170" s="1"/>
  <c r="AM27" i="170" s="1"/>
  <c r="AN27" i="170" s="1"/>
  <c r="AO27" i="170" s="1"/>
  <c r="AP27" i="170" s="1"/>
  <c r="AQ27" i="170" s="1"/>
  <c r="AR27" i="170" s="1"/>
  <c r="AS27" i="170" s="1"/>
  <c r="AT27" i="170" s="1"/>
  <c r="AU27" i="170" s="1"/>
  <c r="AV27" i="170" s="1"/>
  <c r="AW27" i="170" s="1"/>
  <c r="AX27" i="170" s="1"/>
  <c r="AY27" i="170" s="1"/>
  <c r="AZ27" i="170" s="1"/>
  <c r="BA27" i="170" s="1"/>
  <c r="BB27" i="170" s="1"/>
  <c r="BC27" i="170" s="1"/>
  <c r="BD27" i="170" s="1"/>
  <c r="B25" i="170"/>
  <c r="C26" i="170"/>
  <c r="D26" i="170"/>
  <c r="L26" i="170"/>
  <c r="T26" i="170"/>
  <c r="AB26" i="170"/>
  <c r="AJ26" i="170"/>
  <c r="AR26" i="170"/>
  <c r="AZ26" i="170"/>
  <c r="E26" i="170"/>
  <c r="M26" i="170"/>
  <c r="U26" i="170"/>
  <c r="AC26" i="170"/>
  <c r="AK26" i="170"/>
  <c r="AS26" i="170"/>
  <c r="BA26" i="170"/>
  <c r="A49" i="170"/>
  <c r="A59" i="170" s="1"/>
  <c r="AF26" i="168"/>
  <c r="AV26" i="168"/>
  <c r="X26" i="168"/>
  <c r="A57" i="168"/>
  <c r="A67" i="168" s="1"/>
  <c r="BD131" i="168"/>
  <c r="B24" i="168"/>
  <c r="P26" i="168"/>
  <c r="D26" i="168"/>
  <c r="AB26" i="168"/>
  <c r="E26" i="168"/>
  <c r="BA26" i="168"/>
  <c r="AN26" i="168"/>
  <c r="BD26" i="168"/>
  <c r="B23" i="168"/>
  <c r="C27" i="168"/>
  <c r="D27" i="168" s="1"/>
  <c r="E27" i="168" s="1"/>
  <c r="F27" i="168" s="1"/>
  <c r="G27" i="168" s="1"/>
  <c r="H27" i="168" s="1"/>
  <c r="I27" i="168" s="1"/>
  <c r="J27" i="168" s="1"/>
  <c r="K27" i="168" s="1"/>
  <c r="L27" i="168" s="1"/>
  <c r="M27" i="168" s="1"/>
  <c r="N27" i="168" s="1"/>
  <c r="O27" i="168" s="1"/>
  <c r="P27" i="168" s="1"/>
  <c r="Q27" i="168" s="1"/>
  <c r="R27" i="168" s="1"/>
  <c r="S27" i="168" s="1"/>
  <c r="T27" i="168" s="1"/>
  <c r="U27" i="168" s="1"/>
  <c r="V27" i="168" s="1"/>
  <c r="W27" i="168" s="1"/>
  <c r="X27" i="168" s="1"/>
  <c r="Y27" i="168" s="1"/>
  <c r="Z27" i="168" s="1"/>
  <c r="AA27" i="168" s="1"/>
  <c r="AB27" i="168" s="1"/>
  <c r="AC27" i="168" s="1"/>
  <c r="AD27" i="168" s="1"/>
  <c r="AE27" i="168" s="1"/>
  <c r="AF27" i="168" s="1"/>
  <c r="AG27" i="168" s="1"/>
  <c r="AH27" i="168" s="1"/>
  <c r="AI27" i="168" s="1"/>
  <c r="AJ27" i="168" s="1"/>
  <c r="AK27" i="168" s="1"/>
  <c r="AL27" i="168" s="1"/>
  <c r="AM27" i="168" s="1"/>
  <c r="AN27" i="168" s="1"/>
  <c r="AO27" i="168" s="1"/>
  <c r="AP27" i="168" s="1"/>
  <c r="AQ27" i="168" s="1"/>
  <c r="AR27" i="168" s="1"/>
  <c r="AS27" i="168" s="1"/>
  <c r="AT27" i="168" s="1"/>
  <c r="AU27" i="168" s="1"/>
  <c r="AV27" i="168" s="1"/>
  <c r="AW27" i="168" s="1"/>
  <c r="AX27" i="168" s="1"/>
  <c r="AY27" i="168" s="1"/>
  <c r="AZ27" i="168" s="1"/>
  <c r="BA27" i="168" s="1"/>
  <c r="BB27" i="168" s="1"/>
  <c r="BC27" i="168" s="1"/>
  <c r="BD27" i="168" s="1"/>
  <c r="U26" i="168"/>
  <c r="AK26" i="168"/>
  <c r="G26" i="168"/>
  <c r="O26" i="168"/>
  <c r="AM26" i="168"/>
  <c r="AU26" i="168"/>
  <c r="W26" i="168"/>
  <c r="F26" i="168"/>
  <c r="N26" i="168"/>
  <c r="V26" i="168"/>
  <c r="AD26" i="168"/>
  <c r="AL26" i="168"/>
  <c r="AT26" i="168"/>
  <c r="BB26" i="168"/>
  <c r="Y26" i="168"/>
  <c r="J26" i="168"/>
  <c r="R26" i="168"/>
  <c r="Z26" i="168"/>
  <c r="AH26" i="168"/>
  <c r="AP26" i="168"/>
  <c r="AX26" i="168"/>
  <c r="L132" i="168"/>
  <c r="L138" i="168" s="1"/>
  <c r="J130" i="168"/>
  <c r="M134" i="168"/>
  <c r="BD130" i="168"/>
  <c r="C134" i="168"/>
  <c r="BD132" i="168"/>
  <c r="BD138" i="168" s="1"/>
  <c r="G131" i="168"/>
  <c r="G137" i="168" s="1"/>
  <c r="AZ131" i="168"/>
  <c r="AZ137" i="168" s="1"/>
  <c r="I132" i="168"/>
  <c r="I138" i="168" s="1"/>
  <c r="J134" i="168"/>
  <c r="W132" i="168"/>
  <c r="W138" i="168" s="1"/>
  <c r="H52" i="123" s="1"/>
  <c r="G132" i="168"/>
  <c r="G138" i="168" s="1"/>
  <c r="H134" i="168"/>
  <c r="O132" i="168"/>
  <c r="O138" i="168" s="1"/>
  <c r="F132" i="168"/>
  <c r="F138" i="168" s="1"/>
  <c r="L131" i="168"/>
  <c r="AZ134" i="168"/>
  <c r="AS130" i="168"/>
  <c r="AW20" i="166"/>
  <c r="AX20" i="166" s="1"/>
  <c r="AY20" i="166" s="1"/>
  <c r="B20" i="166"/>
  <c r="B23" i="166"/>
  <c r="C26" i="166"/>
  <c r="K26" i="166"/>
  <c r="S26" i="166"/>
  <c r="AA26" i="166"/>
  <c r="AI26" i="166"/>
  <c r="AQ26" i="166"/>
  <c r="AY26" i="166"/>
  <c r="AK26" i="166"/>
  <c r="D26" i="166"/>
  <c r="L26" i="166"/>
  <c r="T26" i="166"/>
  <c r="AB26" i="166"/>
  <c r="AJ26" i="166"/>
  <c r="AR26" i="166"/>
  <c r="AZ26" i="166"/>
  <c r="T134" i="166"/>
  <c r="L134" i="166"/>
  <c r="D134" i="166"/>
  <c r="S132" i="166"/>
  <c r="S138" i="166" s="1"/>
  <c r="D86" i="123" s="1"/>
  <c r="K132" i="166"/>
  <c r="K138" i="166" s="1"/>
  <c r="C132" i="166"/>
  <c r="W131" i="166"/>
  <c r="O131" i="166"/>
  <c r="G131" i="166"/>
  <c r="BG130" i="166"/>
  <c r="AY130" i="166"/>
  <c r="AQ130" i="166"/>
  <c r="S134" i="166"/>
  <c r="K134" i="166"/>
  <c r="C134" i="166"/>
  <c r="R132" i="166"/>
  <c r="J132" i="166"/>
  <c r="V131" i="166"/>
  <c r="N131" i="166"/>
  <c r="F131" i="166"/>
  <c r="BF130" i="166"/>
  <c r="AX130" i="166"/>
  <c r="AP130" i="166"/>
  <c r="R134" i="166"/>
  <c r="J134" i="166"/>
  <c r="Y132" i="166"/>
  <c r="Y138" i="166" s="1"/>
  <c r="J86" i="123" s="1"/>
  <c r="Q132" i="166"/>
  <c r="Q138" i="166" s="1"/>
  <c r="I132" i="166"/>
  <c r="I138" i="166" s="1"/>
  <c r="BI131" i="166"/>
  <c r="U131" i="166"/>
  <c r="U137" i="166" s="1"/>
  <c r="F85" i="123" s="1"/>
  <c r="M131" i="166"/>
  <c r="E131" i="166"/>
  <c r="BE130" i="166"/>
  <c r="AW130" i="166"/>
  <c r="AO130" i="166"/>
  <c r="Y130" i="166"/>
  <c r="Y136" i="166" s="1"/>
  <c r="Q130" i="166"/>
  <c r="I130" i="166"/>
  <c r="Y134" i="166"/>
  <c r="Q134" i="166"/>
  <c r="I134" i="166"/>
  <c r="X132" i="166"/>
  <c r="X138" i="166" s="1"/>
  <c r="I86" i="123" s="1"/>
  <c r="P132" i="166"/>
  <c r="P138" i="166" s="1"/>
  <c r="H132" i="166"/>
  <c r="H138" i="166" s="1"/>
  <c r="T131" i="166"/>
  <c r="L131" i="166"/>
  <c r="D131" i="166"/>
  <c r="BD130" i="166"/>
  <c r="AV130" i="166"/>
  <c r="AN130" i="166"/>
  <c r="X130" i="166"/>
  <c r="X136" i="166" s="1"/>
  <c r="P130" i="166"/>
  <c r="H130" i="166"/>
  <c r="X134" i="166"/>
  <c r="P134" i="166"/>
  <c r="H134" i="166"/>
  <c r="W132" i="166"/>
  <c r="O132" i="166"/>
  <c r="O138" i="166" s="1"/>
  <c r="G132" i="166"/>
  <c r="G138" i="166" s="1"/>
  <c r="S131" i="166"/>
  <c r="S133" i="166" s="1"/>
  <c r="K131" i="166"/>
  <c r="C131" i="166"/>
  <c r="BC130" i="166"/>
  <c r="AU130" i="166"/>
  <c r="AM130" i="166"/>
  <c r="W130" i="166"/>
  <c r="W136" i="166" s="1"/>
  <c r="O130" i="166"/>
  <c r="G130" i="166"/>
  <c r="W134" i="166"/>
  <c r="O134" i="166"/>
  <c r="G134" i="166"/>
  <c r="V132" i="166"/>
  <c r="V138" i="166" s="1"/>
  <c r="G86" i="123" s="1"/>
  <c r="N132" i="166"/>
  <c r="N138" i="166" s="1"/>
  <c r="F132" i="166"/>
  <c r="F138" i="166" s="1"/>
  <c r="R131" i="166"/>
  <c r="R133" i="166" s="1"/>
  <c r="R139" i="166" s="1"/>
  <c r="J131" i="166"/>
  <c r="J133" i="166" s="1"/>
  <c r="BB130" i="166"/>
  <c r="AT130" i="166"/>
  <c r="AL130" i="166"/>
  <c r="V130" i="166"/>
  <c r="V136" i="166" s="1"/>
  <c r="N130" i="166"/>
  <c r="F130" i="166"/>
  <c r="BI134" i="166"/>
  <c r="U134" i="166"/>
  <c r="M134" i="166"/>
  <c r="E134" i="166"/>
  <c r="T132" i="166"/>
  <c r="T138" i="166" s="1"/>
  <c r="E86" i="123" s="1"/>
  <c r="L132" i="166"/>
  <c r="L138" i="166" s="1"/>
  <c r="D132" i="166"/>
  <c r="D138" i="166" s="1"/>
  <c r="X131" i="166"/>
  <c r="X133" i="166" s="1"/>
  <c r="X139" i="166" s="1"/>
  <c r="I87" i="123" s="1"/>
  <c r="P131" i="166"/>
  <c r="P133" i="166" s="1"/>
  <c r="P139" i="166" s="1"/>
  <c r="H131" i="166"/>
  <c r="H137" i="166" s="1"/>
  <c r="BH130" i="166"/>
  <c r="AZ130" i="166"/>
  <c r="AR130" i="166"/>
  <c r="AJ130" i="166"/>
  <c r="T130" i="166"/>
  <c r="T136" i="166" s="1"/>
  <c r="L130" i="166"/>
  <c r="D130" i="166"/>
  <c r="Y131" i="166"/>
  <c r="Y137" i="166" s="1"/>
  <c r="J85" i="123" s="1"/>
  <c r="K130" i="166"/>
  <c r="U132" i="166"/>
  <c r="U138" i="166" s="1"/>
  <c r="F86" i="123" s="1"/>
  <c r="Q131" i="166"/>
  <c r="J130" i="166"/>
  <c r="V134" i="166"/>
  <c r="M132" i="166"/>
  <c r="M138" i="166" s="1"/>
  <c r="I131" i="166"/>
  <c r="E130" i="166"/>
  <c r="AS130" i="166"/>
  <c r="S130" i="166"/>
  <c r="S136" i="166" s="1"/>
  <c r="BI132" i="166"/>
  <c r="BI138" i="166" s="1"/>
  <c r="E132" i="166"/>
  <c r="E138" i="166" s="1"/>
  <c r="U130" i="166"/>
  <c r="U136" i="166" s="1"/>
  <c r="M130" i="166"/>
  <c r="R130" i="166"/>
  <c r="N134" i="166"/>
  <c r="F134" i="166"/>
  <c r="BI130" i="166"/>
  <c r="BA130" i="166"/>
  <c r="AK130" i="166"/>
  <c r="W138" i="166"/>
  <c r="H86" i="123" s="1"/>
  <c r="J138" i="166"/>
  <c r="R138" i="166"/>
  <c r="R137" i="166"/>
  <c r="C138" i="166"/>
  <c r="J139" i="166" l="1"/>
  <c r="BA132" i="168"/>
  <c r="BA138" i="168" s="1"/>
  <c r="P131" i="168"/>
  <c r="AV130" i="168"/>
  <c r="D132" i="168"/>
  <c r="D138" i="168" s="1"/>
  <c r="AR130" i="168"/>
  <c r="M132" i="168"/>
  <c r="M138" i="168" s="1"/>
  <c r="U134" i="168"/>
  <c r="BB131" i="168"/>
  <c r="BB133" i="168" s="1"/>
  <c r="BB139" i="168" s="1"/>
  <c r="AQ40" i="183" s="1"/>
  <c r="N132" i="168"/>
  <c r="N138" i="168" s="1"/>
  <c r="V132" i="168"/>
  <c r="V138" i="168" s="1"/>
  <c r="G52" i="123" s="1"/>
  <c r="BB130" i="168"/>
  <c r="J131" i="168"/>
  <c r="J137" i="168" s="1"/>
  <c r="R131" i="168"/>
  <c r="BB134" i="168"/>
  <c r="Q133" i="166"/>
  <c r="Q139" i="166" s="1"/>
  <c r="L133" i="168"/>
  <c r="L139" i="168" s="1"/>
  <c r="BB132" i="168"/>
  <c r="BB138" i="168" s="1"/>
  <c r="O130" i="168"/>
  <c r="X134" i="168"/>
  <c r="AY130" i="168"/>
  <c r="R134" i="168"/>
  <c r="BC132" i="168"/>
  <c r="BC138" i="168" s="1"/>
  <c r="Y132" i="168"/>
  <c r="Y138" i="168" s="1"/>
  <c r="J52" i="123" s="1"/>
  <c r="P134" i="168"/>
  <c r="O131" i="168"/>
  <c r="K134" i="168"/>
  <c r="I131" i="168"/>
  <c r="BA134" i="168"/>
  <c r="C132" i="168"/>
  <c r="C138" i="168" s="1"/>
  <c r="R130" i="168"/>
  <c r="T132" i="168"/>
  <c r="T138" i="168" s="1"/>
  <c r="E52" i="123" s="1"/>
  <c r="L134" i="168"/>
  <c r="F130" i="168"/>
  <c r="W131" i="168"/>
  <c r="W137" i="168" s="1"/>
  <c r="H51" i="123" s="1"/>
  <c r="S134" i="168"/>
  <c r="Q131" i="168"/>
  <c r="Q137" i="168" s="1"/>
  <c r="I130" i="168"/>
  <c r="K132" i="168"/>
  <c r="K138" i="168" s="1"/>
  <c r="AP130" i="168"/>
  <c r="AZ132" i="168"/>
  <c r="AZ138" i="168" s="1"/>
  <c r="E130" i="168"/>
  <c r="F131" i="168"/>
  <c r="U132" i="168"/>
  <c r="U138" i="168" s="1"/>
  <c r="F52" i="123" s="1"/>
  <c r="AZ130" i="168"/>
  <c r="Q132" i="168"/>
  <c r="Q138" i="168" s="1"/>
  <c r="U130" i="168"/>
  <c r="U136" i="168" s="1"/>
  <c r="G130" i="168"/>
  <c r="K130" i="168"/>
  <c r="N130" i="168"/>
  <c r="BC131" i="168"/>
  <c r="BC137" i="168" s="1"/>
  <c r="H130" i="168"/>
  <c r="Y131" i="168"/>
  <c r="Y137" i="168" s="1"/>
  <c r="J51" i="123" s="1"/>
  <c r="Q130" i="168"/>
  <c r="S132" i="168"/>
  <c r="S138" i="168" s="1"/>
  <c r="D52" i="123" s="1"/>
  <c r="AX130" i="168"/>
  <c r="O134" i="168"/>
  <c r="V131" i="168"/>
  <c r="E132" i="168"/>
  <c r="E138" i="168" s="1"/>
  <c r="BD134" i="168"/>
  <c r="T130" i="168"/>
  <c r="T136" i="168" s="1"/>
  <c r="I134" i="168"/>
  <c r="AK130" i="168"/>
  <c r="W130" i="168"/>
  <c r="W136" i="168" s="1"/>
  <c r="AQ130" i="168"/>
  <c r="V130" i="168"/>
  <c r="V136" i="168" s="1"/>
  <c r="H132" i="168"/>
  <c r="H138" i="168" s="1"/>
  <c r="P130" i="168"/>
  <c r="J132" i="168"/>
  <c r="J138" i="168" s="1"/>
  <c r="Y130" i="168"/>
  <c r="Y136" i="168" s="1"/>
  <c r="F134" i="168"/>
  <c r="C131" i="168"/>
  <c r="C137" i="168" s="1"/>
  <c r="W134" i="168"/>
  <c r="M130" i="168"/>
  <c r="M131" i="168"/>
  <c r="Y134" i="168"/>
  <c r="AJ130" i="168"/>
  <c r="AU130" i="168"/>
  <c r="D130" i="168"/>
  <c r="BA130" i="168"/>
  <c r="AM130" i="168"/>
  <c r="D131" i="168"/>
  <c r="D133" i="168" s="1"/>
  <c r="AL130" i="168"/>
  <c r="P132" i="168"/>
  <c r="P138" i="168" s="1"/>
  <c r="X130" i="168"/>
  <c r="X136" i="168" s="1"/>
  <c r="R132" i="168"/>
  <c r="R138" i="168" s="1"/>
  <c r="AO130" i="168"/>
  <c r="N134" i="168"/>
  <c r="K131" i="168"/>
  <c r="K137" i="168" s="1"/>
  <c r="BC134" i="168"/>
  <c r="H131" i="168"/>
  <c r="H137" i="168" s="1"/>
  <c r="X131" i="168"/>
  <c r="X137" i="168" s="1"/>
  <c r="I51" i="123" s="1"/>
  <c r="U131" i="168"/>
  <c r="U137" i="168" s="1"/>
  <c r="F51" i="123" s="1"/>
  <c r="E131" i="168"/>
  <c r="E137" i="168" s="1"/>
  <c r="N131" i="168"/>
  <c r="N137" i="168" s="1"/>
  <c r="BC130" i="168"/>
  <c r="T131" i="168"/>
  <c r="T133" i="168" s="1"/>
  <c r="T139" i="168" s="1"/>
  <c r="E53" i="123" s="1"/>
  <c r="E59" i="123" s="1"/>
  <c r="AT130" i="168"/>
  <c r="X132" i="168"/>
  <c r="X138" i="168" s="1"/>
  <c r="I52" i="123" s="1"/>
  <c r="AN130" i="168"/>
  <c r="E134" i="168"/>
  <c r="AW130" i="168"/>
  <c r="V134" i="168"/>
  <c r="S131" i="168"/>
  <c r="S137" i="168" s="1"/>
  <c r="D51" i="123" s="1"/>
  <c r="S130" i="168"/>
  <c r="S136" i="168" s="1"/>
  <c r="BA131" i="168"/>
  <c r="BA133" i="168" s="1"/>
  <c r="BA139" i="168" s="1"/>
  <c r="AP40" i="183" s="1"/>
  <c r="B26" i="168"/>
  <c r="I133" i="166"/>
  <c r="I139" i="166" s="1"/>
  <c r="K133" i="166"/>
  <c r="K139" i="166" s="1"/>
  <c r="M133" i="166"/>
  <c r="M139" i="166" s="1"/>
  <c r="T133" i="172"/>
  <c r="T139" i="172" s="1"/>
  <c r="E70" i="123" s="1"/>
  <c r="J133" i="172"/>
  <c r="J139" i="172" s="1"/>
  <c r="BC132" i="174"/>
  <c r="BC138" i="174" s="1"/>
  <c r="N130" i="174"/>
  <c r="L133" i="172"/>
  <c r="L139" i="172" s="1"/>
  <c r="M139" i="172"/>
  <c r="S133" i="172"/>
  <c r="S139" i="172" s="1"/>
  <c r="D70" i="123" s="1"/>
  <c r="R133" i="172"/>
  <c r="R139" i="172" s="1"/>
  <c r="BC133" i="172"/>
  <c r="BC139" i="172" s="1"/>
  <c r="P133" i="172"/>
  <c r="P139" i="172" s="1"/>
  <c r="I133" i="172"/>
  <c r="I139" i="172" s="1"/>
  <c r="X133" i="172"/>
  <c r="X139" i="172" s="1"/>
  <c r="I70" i="123" s="1"/>
  <c r="Y133" i="172"/>
  <c r="Y139" i="172" s="1"/>
  <c r="J70" i="123" s="1"/>
  <c r="J76" i="123" s="1"/>
  <c r="Y137" i="172"/>
  <c r="J68" i="123" s="1"/>
  <c r="R137" i="168"/>
  <c r="BD133" i="168"/>
  <c r="BD139" i="168" s="1"/>
  <c r="P137" i="166"/>
  <c r="F133" i="166"/>
  <c r="F139" i="166" s="1"/>
  <c r="V133" i="166"/>
  <c r="V139" i="166" s="1"/>
  <c r="G87" i="123" s="1"/>
  <c r="AM130" i="174"/>
  <c r="AT130" i="174"/>
  <c r="AU130" i="174"/>
  <c r="F134" i="174"/>
  <c r="AQ130" i="174"/>
  <c r="K134" i="174"/>
  <c r="BD132" i="174"/>
  <c r="BD138" i="174" s="1"/>
  <c r="W131" i="174"/>
  <c r="H132" i="174"/>
  <c r="H138" i="174" s="1"/>
  <c r="D130" i="174"/>
  <c r="M131" i="174"/>
  <c r="Q134" i="174"/>
  <c r="BC130" i="174"/>
  <c r="D134" i="174"/>
  <c r="AN130" i="174"/>
  <c r="E134" i="174"/>
  <c r="AO130" i="174"/>
  <c r="N134" i="174"/>
  <c r="C131" i="174"/>
  <c r="O134" i="174"/>
  <c r="AY130" i="174"/>
  <c r="BA132" i="174"/>
  <c r="BA138" i="174" s="1"/>
  <c r="P132" i="174"/>
  <c r="P138" i="174" s="1"/>
  <c r="N131" i="174"/>
  <c r="I134" i="174"/>
  <c r="U132" i="174"/>
  <c r="U138" i="174" s="1"/>
  <c r="F35" i="123" s="1"/>
  <c r="E130" i="174"/>
  <c r="M130" i="174"/>
  <c r="BC131" i="174"/>
  <c r="L130" i="174"/>
  <c r="U131" i="174"/>
  <c r="Y134" i="174"/>
  <c r="H131" i="174"/>
  <c r="L134" i="174"/>
  <c r="AV130" i="174"/>
  <c r="M134" i="174"/>
  <c r="AW130" i="174"/>
  <c r="V134" i="174"/>
  <c r="K131" i="174"/>
  <c r="W134" i="174"/>
  <c r="D131" i="174"/>
  <c r="H134" i="174"/>
  <c r="AL130" i="174"/>
  <c r="W132" i="174"/>
  <c r="W138" i="174" s="1"/>
  <c r="H35" i="123" s="1"/>
  <c r="AS130" i="174"/>
  <c r="S134" i="174"/>
  <c r="F131" i="174"/>
  <c r="T130" i="174"/>
  <c r="T136" i="174" s="1"/>
  <c r="BA131" i="174"/>
  <c r="G130" i="174"/>
  <c r="P131" i="174"/>
  <c r="T134" i="174"/>
  <c r="BD130" i="174"/>
  <c r="U134" i="174"/>
  <c r="J131" i="174"/>
  <c r="BB134" i="174"/>
  <c r="S131" i="174"/>
  <c r="BC134" i="174"/>
  <c r="L131" i="174"/>
  <c r="P134" i="174"/>
  <c r="V130" i="174"/>
  <c r="V136" i="174" s="1"/>
  <c r="C134" i="174"/>
  <c r="R132" i="174"/>
  <c r="R138" i="174" s="1"/>
  <c r="F130" i="174"/>
  <c r="V131" i="174"/>
  <c r="U130" i="174"/>
  <c r="U136" i="174" s="1"/>
  <c r="O132" i="174"/>
  <c r="O138" i="174" s="1"/>
  <c r="F132" i="174"/>
  <c r="F138" i="174" s="1"/>
  <c r="O130" i="174"/>
  <c r="X131" i="174"/>
  <c r="I131" i="174"/>
  <c r="BA134" i="174"/>
  <c r="R131" i="174"/>
  <c r="J130" i="174"/>
  <c r="D132" i="174"/>
  <c r="D138" i="174" s="1"/>
  <c r="K130" i="174"/>
  <c r="T131" i="174"/>
  <c r="X134" i="174"/>
  <c r="BB132" i="174"/>
  <c r="BB138" i="174" s="1"/>
  <c r="E131" i="174"/>
  <c r="G134" i="174"/>
  <c r="X132" i="174"/>
  <c r="X138" i="174" s="1"/>
  <c r="I35" i="123" s="1"/>
  <c r="BB131" i="174"/>
  <c r="BA130" i="174"/>
  <c r="AJ130" i="174"/>
  <c r="N132" i="174"/>
  <c r="N138" i="174" s="1"/>
  <c r="W130" i="174"/>
  <c r="W136" i="174" s="1"/>
  <c r="BD131" i="174"/>
  <c r="H130" i="174"/>
  <c r="Q131" i="174"/>
  <c r="I130" i="174"/>
  <c r="C132" i="174"/>
  <c r="R130" i="174"/>
  <c r="L132" i="174"/>
  <c r="L138" i="174" s="1"/>
  <c r="S130" i="174"/>
  <c r="S136" i="174" s="1"/>
  <c r="BD134" i="174"/>
  <c r="AZ130" i="174"/>
  <c r="BB130" i="174"/>
  <c r="Y132" i="174"/>
  <c r="Y138" i="174" s="1"/>
  <c r="J35" i="123" s="1"/>
  <c r="AX130" i="174"/>
  <c r="J134" i="174"/>
  <c r="AK130" i="174"/>
  <c r="R134" i="174"/>
  <c r="G132" i="174"/>
  <c r="G138" i="174" s="1"/>
  <c r="G131" i="174"/>
  <c r="AR130" i="174"/>
  <c r="V132" i="174"/>
  <c r="V138" i="174" s="1"/>
  <c r="G35" i="123" s="1"/>
  <c r="I132" i="174"/>
  <c r="I138" i="174" s="1"/>
  <c r="P130" i="174"/>
  <c r="Y131" i="174"/>
  <c r="Q130" i="174"/>
  <c r="K132" i="174"/>
  <c r="K138" i="174" s="1"/>
  <c r="T132" i="174"/>
  <c r="T138" i="174" s="1"/>
  <c r="E35" i="123" s="1"/>
  <c r="E132" i="174"/>
  <c r="E138" i="174" s="1"/>
  <c r="B26" i="174"/>
  <c r="X130" i="174"/>
  <c r="X136" i="174" s="1"/>
  <c r="J132" i="174"/>
  <c r="J138" i="174" s="1"/>
  <c r="Y130" i="174"/>
  <c r="Y136" i="174" s="1"/>
  <c r="S132" i="174"/>
  <c r="S138" i="174" s="1"/>
  <c r="D35" i="123" s="1"/>
  <c r="AP130" i="174"/>
  <c r="M132" i="174"/>
  <c r="M138" i="174" s="1"/>
  <c r="O131" i="174"/>
  <c r="BB133" i="172"/>
  <c r="BB139" i="172" s="1"/>
  <c r="AQ36" i="183" s="1"/>
  <c r="W133" i="172"/>
  <c r="W139" i="172" s="1"/>
  <c r="H70" i="123" s="1"/>
  <c r="H133" i="172"/>
  <c r="H139" i="172" s="1"/>
  <c r="K133" i="172"/>
  <c r="K139" i="172" s="1"/>
  <c r="D133" i="172"/>
  <c r="D139" i="172" s="1"/>
  <c r="J137" i="172"/>
  <c r="BD133" i="172"/>
  <c r="BD139" i="172" s="1"/>
  <c r="Q133" i="172"/>
  <c r="Q139" i="172" s="1"/>
  <c r="BD134" i="172"/>
  <c r="M137" i="172"/>
  <c r="I137" i="172"/>
  <c r="E139" i="172"/>
  <c r="F133" i="172"/>
  <c r="F139" i="172" s="1"/>
  <c r="F137" i="172"/>
  <c r="E137" i="172"/>
  <c r="C138" i="172"/>
  <c r="T137" i="172"/>
  <c r="E68" i="123" s="1"/>
  <c r="S137" i="172"/>
  <c r="D68" i="123" s="1"/>
  <c r="X137" i="172"/>
  <c r="I68" i="123" s="1"/>
  <c r="W137" i="172"/>
  <c r="H68" i="123" s="1"/>
  <c r="N133" i="172"/>
  <c r="N139" i="172" s="1"/>
  <c r="G133" i="172"/>
  <c r="G139" i="172" s="1"/>
  <c r="AQ130" i="172"/>
  <c r="U132" i="172"/>
  <c r="U138" i="172" s="1"/>
  <c r="F69" i="123" s="1"/>
  <c r="L137" i="172"/>
  <c r="K137" i="172"/>
  <c r="BD137" i="172"/>
  <c r="B26" i="172"/>
  <c r="BC137" i="172"/>
  <c r="V133" i="172"/>
  <c r="V139" i="172" s="1"/>
  <c r="G70" i="123" s="1"/>
  <c r="O133" i="172"/>
  <c r="O139" i="172" s="1"/>
  <c r="C133" i="172"/>
  <c r="AY130" i="172"/>
  <c r="R137" i="172"/>
  <c r="D137" i="172"/>
  <c r="C137" i="172"/>
  <c r="P137" i="172"/>
  <c r="O137" i="172"/>
  <c r="AZ130" i="170"/>
  <c r="T130" i="170"/>
  <c r="T136" i="170" s="1"/>
  <c r="M130" i="170"/>
  <c r="V131" i="170"/>
  <c r="F130" i="170"/>
  <c r="O131" i="170"/>
  <c r="K134" i="170"/>
  <c r="BC130" i="170"/>
  <c r="D134" i="170"/>
  <c r="AN130" i="170"/>
  <c r="E134" i="170"/>
  <c r="AO130" i="170"/>
  <c r="N134" i="170"/>
  <c r="C131" i="170"/>
  <c r="O134" i="170"/>
  <c r="AY130" i="170"/>
  <c r="BA132" i="170"/>
  <c r="BA138" i="170" s="1"/>
  <c r="AT130" i="170"/>
  <c r="K132" i="170"/>
  <c r="K138" i="170" s="1"/>
  <c r="Q134" i="170"/>
  <c r="U130" i="170"/>
  <c r="U136" i="170" s="1"/>
  <c r="BB131" i="170"/>
  <c r="N130" i="170"/>
  <c r="W131" i="170"/>
  <c r="S134" i="170"/>
  <c r="H131" i="170"/>
  <c r="L134" i="170"/>
  <c r="AV130" i="170"/>
  <c r="M134" i="170"/>
  <c r="AW130" i="170"/>
  <c r="V134" i="170"/>
  <c r="K131" i="170"/>
  <c r="W134" i="170"/>
  <c r="D131" i="170"/>
  <c r="H134" i="170"/>
  <c r="E131" i="170"/>
  <c r="P130" i="170"/>
  <c r="E132" i="170"/>
  <c r="E138" i="170" s="1"/>
  <c r="U131" i="170"/>
  <c r="AJ130" i="170"/>
  <c r="G132" i="170"/>
  <c r="G138" i="170" s="1"/>
  <c r="V130" i="170"/>
  <c r="V136" i="170" s="1"/>
  <c r="BC131" i="170"/>
  <c r="G130" i="170"/>
  <c r="P131" i="170"/>
  <c r="T134" i="170"/>
  <c r="BD130" i="170"/>
  <c r="U134" i="170"/>
  <c r="J131" i="170"/>
  <c r="BB134" i="170"/>
  <c r="S131" i="170"/>
  <c r="BC134" i="170"/>
  <c r="L131" i="170"/>
  <c r="P134" i="170"/>
  <c r="X132" i="170"/>
  <c r="X138" i="170" s="1"/>
  <c r="I18" i="123" s="1"/>
  <c r="Y134" i="170"/>
  <c r="BB132" i="170"/>
  <c r="BB138" i="170" s="1"/>
  <c r="AK130" i="170"/>
  <c r="O132" i="170"/>
  <c r="O138" i="170" s="1"/>
  <c r="H132" i="170"/>
  <c r="H138" i="170" s="1"/>
  <c r="O130" i="170"/>
  <c r="X131" i="170"/>
  <c r="AZ134" i="170"/>
  <c r="I131" i="170"/>
  <c r="BA134" i="170"/>
  <c r="R131" i="170"/>
  <c r="J130" i="170"/>
  <c r="D132" i="170"/>
  <c r="D138" i="170" s="1"/>
  <c r="K130" i="170"/>
  <c r="T131" i="170"/>
  <c r="X134" i="170"/>
  <c r="BA130" i="170"/>
  <c r="Y131" i="170"/>
  <c r="F132" i="170"/>
  <c r="F138" i="170" s="1"/>
  <c r="BA131" i="170"/>
  <c r="I134" i="170"/>
  <c r="AS130" i="170"/>
  <c r="W132" i="170"/>
  <c r="W138" i="170" s="1"/>
  <c r="H18" i="123" s="1"/>
  <c r="AL130" i="170"/>
  <c r="P132" i="170"/>
  <c r="P138" i="170" s="1"/>
  <c r="W130" i="170"/>
  <c r="W136" i="170" s="1"/>
  <c r="BD131" i="170"/>
  <c r="H130" i="170"/>
  <c r="Q131" i="170"/>
  <c r="I130" i="170"/>
  <c r="C132" i="170"/>
  <c r="R130" i="170"/>
  <c r="L132" i="170"/>
  <c r="L138" i="170" s="1"/>
  <c r="S130" i="170"/>
  <c r="S136" i="170" s="1"/>
  <c r="AZ131" i="170"/>
  <c r="BD134" i="170"/>
  <c r="BC132" i="170"/>
  <c r="BC138" i="170" s="1"/>
  <c r="Q130" i="170"/>
  <c r="L130" i="170"/>
  <c r="M131" i="170"/>
  <c r="N132" i="170"/>
  <c r="N138" i="170" s="1"/>
  <c r="F131" i="170"/>
  <c r="J134" i="170"/>
  <c r="BB130" i="170"/>
  <c r="BD132" i="170"/>
  <c r="BD138" i="170" s="1"/>
  <c r="AM130" i="170"/>
  <c r="Q132" i="170"/>
  <c r="Q138" i="170" s="1"/>
  <c r="X130" i="170"/>
  <c r="X136" i="170" s="1"/>
  <c r="J132" i="170"/>
  <c r="J138" i="170" s="1"/>
  <c r="Y130" i="170"/>
  <c r="Y136" i="170" s="1"/>
  <c r="S132" i="170"/>
  <c r="S138" i="170" s="1"/>
  <c r="D18" i="123" s="1"/>
  <c r="AP130" i="170"/>
  <c r="AZ132" i="170"/>
  <c r="AZ138" i="170" s="1"/>
  <c r="M132" i="170"/>
  <c r="M138" i="170" s="1"/>
  <c r="D130" i="170"/>
  <c r="I132" i="170"/>
  <c r="I138" i="170" s="1"/>
  <c r="T132" i="170"/>
  <c r="T138" i="170" s="1"/>
  <c r="E18" i="123" s="1"/>
  <c r="AR130" i="170"/>
  <c r="V132" i="170"/>
  <c r="V138" i="170" s="1"/>
  <c r="G18" i="123" s="1"/>
  <c r="E130" i="170"/>
  <c r="N131" i="170"/>
  <c r="R134" i="170"/>
  <c r="G131" i="170"/>
  <c r="C134" i="170"/>
  <c r="AU130" i="170"/>
  <c r="Y132" i="170"/>
  <c r="Y138" i="170" s="1"/>
  <c r="J18" i="123" s="1"/>
  <c r="R132" i="170"/>
  <c r="R138" i="170" s="1"/>
  <c r="F134" i="170"/>
  <c r="AX130" i="170"/>
  <c r="G134" i="170"/>
  <c r="AQ130" i="170"/>
  <c r="U132" i="170"/>
  <c r="U138" i="170" s="1"/>
  <c r="F18" i="123" s="1"/>
  <c r="B26" i="170"/>
  <c r="G134" i="168"/>
  <c r="D134" i="168"/>
  <c r="V133" i="168"/>
  <c r="V139" i="168" s="1"/>
  <c r="G53" i="123" s="1"/>
  <c r="M137" i="168"/>
  <c r="BA137" i="168"/>
  <c r="L137" i="168"/>
  <c r="P137" i="168"/>
  <c r="F133" i="168"/>
  <c r="F139" i="168" s="1"/>
  <c r="G133" i="168"/>
  <c r="G139" i="168" s="1"/>
  <c r="V137" i="168"/>
  <c r="G51" i="123" s="1"/>
  <c r="D139" i="168"/>
  <c r="D137" i="168"/>
  <c r="O133" i="168"/>
  <c r="O139" i="168" s="1"/>
  <c r="X133" i="168"/>
  <c r="X139" i="168" s="1"/>
  <c r="I53" i="123" s="1"/>
  <c r="I59" i="123" s="1"/>
  <c r="U133" i="168"/>
  <c r="U139" i="168" s="1"/>
  <c r="F53" i="123" s="1"/>
  <c r="W133" i="168"/>
  <c r="W139" i="168" s="1"/>
  <c r="H53" i="123" s="1"/>
  <c r="I133" i="168"/>
  <c r="I139" i="168" s="1"/>
  <c r="I137" i="168"/>
  <c r="O137" i="168"/>
  <c r="T134" i="168"/>
  <c r="BD137" i="168"/>
  <c r="F137" i="168"/>
  <c r="Q134" i="168"/>
  <c r="L130" i="168"/>
  <c r="I137" i="166"/>
  <c r="C133" i="166"/>
  <c r="C139" i="166" s="1"/>
  <c r="D133" i="166"/>
  <c r="D139" i="166" s="1"/>
  <c r="BI137" i="166"/>
  <c r="BI133" i="166"/>
  <c r="BI139" i="166" s="1"/>
  <c r="X137" i="166"/>
  <c r="I85" i="123" s="1"/>
  <c r="S137" i="166"/>
  <c r="D85" i="123" s="1"/>
  <c r="L133" i="166"/>
  <c r="G133" i="166"/>
  <c r="G139" i="166" s="1"/>
  <c r="Q137" i="166"/>
  <c r="T133" i="166"/>
  <c r="T139" i="166" s="1"/>
  <c r="E87" i="123" s="1"/>
  <c r="O133" i="166"/>
  <c r="O139" i="166" s="1"/>
  <c r="T137" i="166"/>
  <c r="E85" i="123" s="1"/>
  <c r="K137" i="166"/>
  <c r="W133" i="166"/>
  <c r="W139" i="166" s="1"/>
  <c r="H87" i="123" s="1"/>
  <c r="L139" i="166"/>
  <c r="B26" i="166"/>
  <c r="Y133" i="166"/>
  <c r="Y139" i="166" s="1"/>
  <c r="J87" i="123" s="1"/>
  <c r="E133" i="166"/>
  <c r="E139" i="166" s="1"/>
  <c r="N133" i="166"/>
  <c r="N139" i="166" s="1"/>
  <c r="M137" i="166"/>
  <c r="L137" i="166"/>
  <c r="C137" i="166"/>
  <c r="V137" i="166"/>
  <c r="G85" i="123" s="1"/>
  <c r="W137" i="166"/>
  <c r="H85" i="123" s="1"/>
  <c r="N137" i="166"/>
  <c r="E137" i="166"/>
  <c r="F137" i="166"/>
  <c r="H133" i="166"/>
  <c r="H139" i="166" s="1"/>
  <c r="U133" i="166"/>
  <c r="U139" i="166" s="1"/>
  <c r="F87" i="123" s="1"/>
  <c r="O137" i="166"/>
  <c r="D137" i="166"/>
  <c r="J137" i="166"/>
  <c r="G137" i="166"/>
  <c r="S139" i="166"/>
  <c r="D87" i="123" s="1"/>
  <c r="BB137" i="168" l="1"/>
  <c r="BC133" i="168"/>
  <c r="BC139" i="168" s="1"/>
  <c r="H133" i="168"/>
  <c r="H139" i="168" s="1"/>
  <c r="T137" i="168"/>
  <c r="E51" i="123" s="1"/>
  <c r="N133" i="168"/>
  <c r="N139" i="168" s="1"/>
  <c r="M133" i="168"/>
  <c r="M139" i="168" s="1"/>
  <c r="Y133" i="168"/>
  <c r="Y139" i="168" s="1"/>
  <c r="J53" i="123" s="1"/>
  <c r="J59" i="123" s="1"/>
  <c r="J133" i="168"/>
  <c r="J139" i="168" s="1"/>
  <c r="K133" i="168"/>
  <c r="K139" i="168" s="1"/>
  <c r="Q133" i="168"/>
  <c r="Q139" i="168" s="1"/>
  <c r="C133" i="168"/>
  <c r="E133" i="168"/>
  <c r="E139" i="168" s="1"/>
  <c r="AZ133" i="168"/>
  <c r="AZ139" i="168" s="1"/>
  <c r="AO40" i="183" s="1"/>
  <c r="R133" i="168"/>
  <c r="R139" i="168" s="1"/>
  <c r="S133" i="168"/>
  <c r="S139" i="168" s="1"/>
  <c r="D53" i="123" s="1"/>
  <c r="P133" i="168"/>
  <c r="P139" i="168" s="1"/>
  <c r="C138" i="174"/>
  <c r="E133" i="174"/>
  <c r="E139" i="174" s="1"/>
  <c r="E137" i="174"/>
  <c r="T133" i="174"/>
  <c r="T139" i="174" s="1"/>
  <c r="E36" i="123" s="1"/>
  <c r="E42" i="123" s="1"/>
  <c r="T137" i="174"/>
  <c r="E34" i="123" s="1"/>
  <c r="L133" i="174"/>
  <c r="L139" i="174" s="1"/>
  <c r="L137" i="174"/>
  <c r="P133" i="174"/>
  <c r="P139" i="174" s="1"/>
  <c r="P137" i="174"/>
  <c r="Y133" i="174"/>
  <c r="Y139" i="174" s="1"/>
  <c r="J36" i="123" s="1"/>
  <c r="Y137" i="174"/>
  <c r="J34" i="123" s="1"/>
  <c r="N133" i="174"/>
  <c r="N139" i="174" s="1"/>
  <c r="N137" i="174"/>
  <c r="O133" i="174"/>
  <c r="O139" i="174" s="1"/>
  <c r="O137" i="174"/>
  <c r="Q133" i="174"/>
  <c r="Q139" i="174" s="1"/>
  <c r="Q137" i="174"/>
  <c r="BB133" i="174"/>
  <c r="BB139" i="174" s="1"/>
  <c r="AQ38" i="183" s="1"/>
  <c r="BB137" i="174"/>
  <c r="C133" i="174"/>
  <c r="C137" i="174"/>
  <c r="M133" i="174"/>
  <c r="M139" i="174" s="1"/>
  <c r="M137" i="174"/>
  <c r="BC133" i="174"/>
  <c r="BC139" i="174" s="1"/>
  <c r="BC137" i="174"/>
  <c r="S133" i="174"/>
  <c r="S139" i="174" s="1"/>
  <c r="D36" i="123" s="1"/>
  <c r="D42" i="123" s="1"/>
  <c r="S137" i="174"/>
  <c r="D34" i="123" s="1"/>
  <c r="BA133" i="174"/>
  <c r="BA139" i="174" s="1"/>
  <c r="AP38" i="183" s="1"/>
  <c r="BA137" i="174"/>
  <c r="D133" i="174"/>
  <c r="D139" i="174" s="1"/>
  <c r="D137" i="174"/>
  <c r="H133" i="174"/>
  <c r="H139" i="174" s="1"/>
  <c r="H137" i="174"/>
  <c r="BD133" i="174"/>
  <c r="BD139" i="174" s="1"/>
  <c r="BD137" i="174"/>
  <c r="R133" i="174"/>
  <c r="R139" i="174" s="1"/>
  <c r="R137" i="174"/>
  <c r="J133" i="174"/>
  <c r="J139" i="174" s="1"/>
  <c r="J137" i="174"/>
  <c r="F133" i="174"/>
  <c r="F139" i="174" s="1"/>
  <c r="F137" i="174"/>
  <c r="K133" i="174"/>
  <c r="K139" i="174" s="1"/>
  <c r="K137" i="174"/>
  <c r="U133" i="174"/>
  <c r="U139" i="174" s="1"/>
  <c r="F36" i="123" s="1"/>
  <c r="F42" i="123" s="1"/>
  <c r="U137" i="174"/>
  <c r="F34" i="123" s="1"/>
  <c r="W133" i="174"/>
  <c r="W139" i="174" s="1"/>
  <c r="H36" i="123" s="1"/>
  <c r="H42" i="123" s="1"/>
  <c r="W137" i="174"/>
  <c r="H34" i="123" s="1"/>
  <c r="X133" i="174"/>
  <c r="X139" i="174" s="1"/>
  <c r="I36" i="123" s="1"/>
  <c r="X137" i="174"/>
  <c r="I34" i="123" s="1"/>
  <c r="G133" i="174"/>
  <c r="G139" i="174" s="1"/>
  <c r="G137" i="174"/>
  <c r="V133" i="174"/>
  <c r="V139" i="174" s="1"/>
  <c r="G36" i="123" s="1"/>
  <c r="G42" i="123" s="1"/>
  <c r="V137" i="174"/>
  <c r="G34" i="123" s="1"/>
  <c r="I133" i="174"/>
  <c r="I139" i="174" s="1"/>
  <c r="I137" i="174"/>
  <c r="U133" i="172"/>
  <c r="U139" i="172" s="1"/>
  <c r="F70" i="123" s="1"/>
  <c r="C139" i="172"/>
  <c r="N133" i="170"/>
  <c r="N139" i="170" s="1"/>
  <c r="N137" i="170"/>
  <c r="C138" i="170"/>
  <c r="R133" i="170"/>
  <c r="R139" i="170" s="1"/>
  <c r="R137" i="170"/>
  <c r="J133" i="170"/>
  <c r="J139" i="170" s="1"/>
  <c r="J137" i="170"/>
  <c r="BB133" i="170"/>
  <c r="BB139" i="170" s="1"/>
  <c r="AQ35" i="183" s="1"/>
  <c r="BB137" i="170"/>
  <c r="F133" i="170"/>
  <c r="F139" i="170" s="1"/>
  <c r="F137" i="170"/>
  <c r="Q133" i="170"/>
  <c r="Q139" i="170" s="1"/>
  <c r="Q137" i="170"/>
  <c r="I133" i="170"/>
  <c r="I139" i="170" s="1"/>
  <c r="I137" i="170"/>
  <c r="BA133" i="170"/>
  <c r="BA139" i="170" s="1"/>
  <c r="AP35" i="183" s="1"/>
  <c r="BA137" i="170"/>
  <c r="C133" i="170"/>
  <c r="C137" i="170"/>
  <c r="O133" i="170"/>
  <c r="O139" i="170" s="1"/>
  <c r="O137" i="170"/>
  <c r="M133" i="170"/>
  <c r="M139" i="170" s="1"/>
  <c r="M137" i="170"/>
  <c r="AZ133" i="170"/>
  <c r="AZ139" i="170" s="1"/>
  <c r="AO35" i="183" s="1"/>
  <c r="AZ137" i="170"/>
  <c r="BD133" i="170"/>
  <c r="BD139" i="170" s="1"/>
  <c r="BD137" i="170"/>
  <c r="T133" i="170"/>
  <c r="T139" i="170" s="1"/>
  <c r="E19" i="123" s="1"/>
  <c r="T137" i="170"/>
  <c r="E17" i="123" s="1"/>
  <c r="X133" i="170"/>
  <c r="X139" i="170" s="1"/>
  <c r="I19" i="123" s="1"/>
  <c r="X137" i="170"/>
  <c r="I17" i="123" s="1"/>
  <c r="U133" i="170"/>
  <c r="U139" i="170" s="1"/>
  <c r="F19" i="123" s="1"/>
  <c r="U137" i="170"/>
  <c r="F17" i="123" s="1"/>
  <c r="Y133" i="170"/>
  <c r="Y139" i="170" s="1"/>
  <c r="J19" i="123" s="1"/>
  <c r="Y137" i="170"/>
  <c r="J17" i="123" s="1"/>
  <c r="L133" i="170"/>
  <c r="L139" i="170" s="1"/>
  <c r="L137" i="170"/>
  <c r="P133" i="170"/>
  <c r="P139" i="170" s="1"/>
  <c r="P137" i="170"/>
  <c r="D133" i="170"/>
  <c r="D139" i="170" s="1"/>
  <c r="D137" i="170"/>
  <c r="H133" i="170"/>
  <c r="H139" i="170" s="1"/>
  <c r="H137" i="170"/>
  <c r="V133" i="170"/>
  <c r="V139" i="170" s="1"/>
  <c r="G19" i="123" s="1"/>
  <c r="V137" i="170"/>
  <c r="G17" i="123" s="1"/>
  <c r="G133" i="170"/>
  <c r="G139" i="170" s="1"/>
  <c r="G137" i="170"/>
  <c r="S133" i="170"/>
  <c r="S139" i="170" s="1"/>
  <c r="D19" i="123" s="1"/>
  <c r="S137" i="170"/>
  <c r="D17" i="123" s="1"/>
  <c r="BC133" i="170"/>
  <c r="BC139" i="170" s="1"/>
  <c r="BC137" i="170"/>
  <c r="E133" i="170"/>
  <c r="E139" i="170" s="1"/>
  <c r="E137" i="170"/>
  <c r="K133" i="170"/>
  <c r="K139" i="170" s="1"/>
  <c r="K137" i="170"/>
  <c r="W133" i="170"/>
  <c r="W139" i="170" s="1"/>
  <c r="H19" i="123" s="1"/>
  <c r="W137" i="170"/>
  <c r="H17" i="123" s="1"/>
  <c r="C139" i="168"/>
  <c r="C139" i="174" l="1"/>
  <c r="C139" i="170"/>
  <c r="BG124" i="166" l="1"/>
  <c r="BG114" i="166"/>
  <c r="BG125" i="166" l="1"/>
  <c r="BH124" i="166"/>
  <c r="BF104" i="166"/>
  <c r="BG122" i="166" l="1"/>
  <c r="BG120" i="166" s="1"/>
  <c r="BG126" i="166" s="1"/>
  <c r="BG112" i="166"/>
  <c r="BG123" i="166" l="1"/>
  <c r="BG121" i="166" s="1"/>
  <c r="BG127" i="166" s="1"/>
  <c r="BA132" i="166"/>
  <c r="BA138" i="166" s="1"/>
  <c r="BG110" i="166"/>
  <c r="BH122" i="166" l="1"/>
  <c r="BA131" i="166"/>
  <c r="BB132" i="166"/>
  <c r="BB138" i="166" s="1"/>
  <c r="BG116" i="166"/>
  <c r="BF102" i="166"/>
  <c r="BA133" i="166" l="1"/>
  <c r="BA139" i="166" s="1"/>
  <c r="BA137" i="166"/>
  <c r="BB131" i="166"/>
  <c r="BA134" i="166"/>
  <c r="BH120" i="166"/>
  <c r="BF100" i="166"/>
  <c r="BG113" i="166"/>
  <c r="AP37" i="183" l="1"/>
  <c r="BB134" i="166"/>
  <c r="BB133" i="166"/>
  <c r="BB139" i="166" s="1"/>
  <c r="BB137" i="166"/>
  <c r="BF106" i="166"/>
  <c r="BG111" i="166"/>
  <c r="BG132" i="166"/>
  <c r="BG138" i="166" s="1"/>
  <c r="BH126" i="166"/>
  <c r="AQ37" i="183" l="1"/>
  <c r="AQ42" i="183" s="1"/>
  <c r="AZ132" i="174"/>
  <c r="AZ132" i="172"/>
  <c r="AZ138" i="172" s="1"/>
  <c r="BE132" i="166"/>
  <c r="BE138" i="166" s="1"/>
  <c r="BH123" i="166"/>
  <c r="BG131" i="166"/>
  <c r="BG117" i="166"/>
  <c r="BF103" i="166"/>
  <c r="AZ138" i="174" l="1"/>
  <c r="AZ131" i="174"/>
  <c r="AZ131" i="172"/>
  <c r="BG137" i="166"/>
  <c r="BG133" i="166"/>
  <c r="BG139" i="166" s="1"/>
  <c r="BF101" i="166"/>
  <c r="BF132" i="166"/>
  <c r="BF138" i="166" s="1"/>
  <c r="BH121" i="166"/>
  <c r="BH132" i="166"/>
  <c r="AZ132" i="166"/>
  <c r="AZ138" i="166" s="1"/>
  <c r="BG134" i="166"/>
  <c r="BE131" i="166"/>
  <c r="AZ134" i="174" l="1"/>
  <c r="AZ133" i="174"/>
  <c r="AZ137" i="174"/>
  <c r="BA132" i="172"/>
  <c r="AZ133" i="172"/>
  <c r="AZ139" i="172" s="1"/>
  <c r="AO36" i="183" s="1"/>
  <c r="AZ137" i="172"/>
  <c r="AZ134" i="172"/>
  <c r="BH131" i="166"/>
  <c r="BH127" i="166"/>
  <c r="AZ131" i="166"/>
  <c r="BE134" i="166"/>
  <c r="BF131" i="166"/>
  <c r="BF107" i="166"/>
  <c r="BH138" i="166"/>
  <c r="BE137" i="166"/>
  <c r="BE133" i="166"/>
  <c r="BE139" i="166" s="1"/>
  <c r="AZ139" i="174" l="1"/>
  <c r="AO38" i="183" s="1"/>
  <c r="BA138" i="172"/>
  <c r="BA131" i="172"/>
  <c r="AZ133" i="166"/>
  <c r="AZ139" i="166" s="1"/>
  <c r="AZ137" i="166"/>
  <c r="BF137" i="166"/>
  <c r="BF133" i="166"/>
  <c r="BF139" i="166" s="1"/>
  <c r="BF134" i="166"/>
  <c r="BH134" i="166"/>
  <c r="BH137" i="166"/>
  <c r="BH133" i="166"/>
  <c r="AZ134" i="166"/>
  <c r="BC132" i="166"/>
  <c r="BC138" i="166" s="1"/>
  <c r="AO37" i="183" l="1"/>
  <c r="AO42" i="183" s="1"/>
  <c r="BA133" i="172"/>
  <c r="BA137" i="172"/>
  <c r="BA134" i="172"/>
  <c r="BC131" i="166"/>
  <c r="BH139" i="166"/>
  <c r="BA139" i="172" l="1"/>
  <c r="BC134" i="166"/>
  <c r="BC133" i="166"/>
  <c r="BC139" i="166" s="1"/>
  <c r="BC137" i="166"/>
  <c r="AP36" i="183" l="1"/>
  <c r="AP42" i="183" s="1"/>
  <c r="BD132" i="166"/>
  <c r="BD138" i="166" s="1"/>
  <c r="BD131" i="166" l="1"/>
  <c r="BD133" i="166" l="1"/>
  <c r="BD139" i="166" s="1"/>
  <c r="BD137" i="166"/>
  <c r="BD134" i="166"/>
  <c r="AE18" i="113" l="1"/>
  <c r="AF18" i="113"/>
  <c r="AG18" i="113"/>
  <c r="AH18" i="113"/>
  <c r="AI18" i="113"/>
  <c r="AJ18" i="113"/>
  <c r="AK18" i="113"/>
  <c r="AM18" i="113"/>
  <c r="AN18" i="113"/>
  <c r="AO18" i="113"/>
  <c r="AP18" i="113"/>
  <c r="AQ18" i="113"/>
  <c r="AR18" i="113"/>
  <c r="AS18" i="113"/>
  <c r="AT18" i="113"/>
  <c r="AU18" i="113"/>
  <c r="AV18" i="113"/>
  <c r="AW18" i="113"/>
  <c r="AX18" i="113"/>
  <c r="AY18" i="113"/>
  <c r="AD19" i="113"/>
  <c r="AE19" i="113"/>
  <c r="AF19" i="113"/>
  <c r="AG19" i="113"/>
  <c r="AH19" i="113"/>
  <c r="AI19" i="113"/>
  <c r="AJ19" i="113"/>
  <c r="AK19" i="113"/>
  <c r="AL19" i="113"/>
  <c r="AM19" i="113"/>
  <c r="AN19" i="113"/>
  <c r="AO19" i="113"/>
  <c r="AP19" i="113"/>
  <c r="AQ19" i="113"/>
  <c r="AR19" i="113"/>
  <c r="AS19" i="113"/>
  <c r="AT19" i="113"/>
  <c r="AU19" i="113"/>
  <c r="AV19" i="113"/>
  <c r="AW19" i="113"/>
  <c r="AX19" i="113"/>
  <c r="AY19" i="113"/>
  <c r="I22" i="113"/>
  <c r="P18" i="113"/>
  <c r="AD18" i="113" s="1"/>
  <c r="H18" i="113"/>
  <c r="H19" i="113"/>
  <c r="AZ19" i="113" l="1"/>
  <c r="AL18" i="113"/>
  <c r="AZ18" i="113" s="1"/>
  <c r="G10" i="154" l="1"/>
  <c r="H10" i="154"/>
  <c r="I10" i="154"/>
  <c r="J10" i="154"/>
  <c r="K10" i="154"/>
  <c r="L10" i="154"/>
  <c r="F10" i="154"/>
  <c r="Q20" i="113"/>
  <c r="P20" i="113"/>
  <c r="C4" i="154" l="1"/>
  <c r="B4" i="154"/>
  <c r="B7" i="154"/>
  <c r="B5" i="154"/>
  <c r="C5" i="154"/>
  <c r="B6" i="154"/>
  <c r="C9" i="154"/>
  <c r="B10" i="154"/>
  <c r="C8" i="154"/>
  <c r="B9" i="154"/>
  <c r="C7" i="154"/>
  <c r="B8" i="154"/>
  <c r="C6" i="154"/>
  <c r="P17" i="113"/>
  <c r="Q17" i="113"/>
  <c r="R17" i="113"/>
  <c r="J90" i="123" l="1"/>
  <c r="J93" i="123" s="1"/>
  <c r="J55" i="123"/>
  <c r="J56" i="123" s="1"/>
  <c r="J39" i="123"/>
  <c r="J42" i="123" s="1"/>
  <c r="J22" i="123" l="1"/>
  <c r="J25" i="123" s="1"/>
  <c r="J9" i="123"/>
  <c r="C90" i="123" l="1"/>
  <c r="C94" i="123" s="1"/>
  <c r="C22" i="123"/>
  <c r="C26" i="123" s="1"/>
  <c r="AD15" i="113" l="1"/>
  <c r="AE15" i="113"/>
  <c r="AF15" i="113"/>
  <c r="AG15" i="113"/>
  <c r="AH15" i="113"/>
  <c r="AI15" i="113"/>
  <c r="AJ15" i="113"/>
  <c r="AK15" i="113"/>
  <c r="AL15" i="113"/>
  <c r="AM15" i="113"/>
  <c r="AN15" i="113"/>
  <c r="AO15" i="113"/>
  <c r="AP15" i="113"/>
  <c r="AQ15" i="113"/>
  <c r="AR15" i="113"/>
  <c r="AS15" i="113"/>
  <c r="AT15" i="113"/>
  <c r="AU15" i="113"/>
  <c r="AV15" i="113"/>
  <c r="AW15" i="113"/>
  <c r="AX15" i="113"/>
  <c r="AY15" i="113"/>
  <c r="H15" i="113"/>
  <c r="AZ15" i="113" l="1"/>
  <c r="C99" i="123" l="1"/>
  <c r="C102" i="123" s="1"/>
  <c r="C73" i="123"/>
  <c r="C77" i="123" s="1"/>
  <c r="C56" i="123"/>
  <c r="C60" i="123" s="1"/>
  <c r="C39" i="123"/>
  <c r="C43" i="123" s="1"/>
  <c r="D43" i="123" s="1"/>
  <c r="E43" i="123" s="1"/>
  <c r="F43" i="123" s="1"/>
  <c r="G43" i="123" s="1"/>
  <c r="H43" i="123" s="1"/>
  <c r="D102" i="123" l="1"/>
  <c r="D4" i="123" l="1"/>
  <c r="E4" i="123"/>
  <c r="F4" i="123"/>
  <c r="G4" i="123"/>
  <c r="H4" i="123"/>
  <c r="D5" i="123"/>
  <c r="E5" i="123"/>
  <c r="F5" i="123"/>
  <c r="G5" i="123"/>
  <c r="H5" i="123"/>
  <c r="I5" i="123"/>
  <c r="D6" i="123"/>
  <c r="D56" i="123" s="1"/>
  <c r="E56" i="123"/>
  <c r="F6" i="123"/>
  <c r="F56" i="123" s="1"/>
  <c r="F59" i="123" s="1"/>
  <c r="G6" i="123"/>
  <c r="G56" i="123" s="1"/>
  <c r="G59" i="123" s="1"/>
  <c r="H6" i="123"/>
  <c r="H56" i="123" s="1"/>
  <c r="H59" i="123" s="1"/>
  <c r="I56" i="123"/>
  <c r="D7" i="123"/>
  <c r="D73" i="123" s="1"/>
  <c r="D76" i="123" s="1"/>
  <c r="D77" i="123" s="1"/>
  <c r="E7" i="123"/>
  <c r="E73" i="123" s="1"/>
  <c r="E76" i="123" s="1"/>
  <c r="F7" i="123"/>
  <c r="F73" i="123" s="1"/>
  <c r="F76" i="123" s="1"/>
  <c r="G7" i="123"/>
  <c r="G73" i="123" s="1"/>
  <c r="G76" i="123" s="1"/>
  <c r="H7" i="123"/>
  <c r="H73" i="123" s="1"/>
  <c r="H76" i="123" s="1"/>
  <c r="I73" i="123"/>
  <c r="I76" i="123" s="1"/>
  <c r="D8" i="123"/>
  <c r="D90" i="123" s="1"/>
  <c r="D93" i="123" s="1"/>
  <c r="E8" i="123"/>
  <c r="E90" i="123" s="1"/>
  <c r="E93" i="123" s="1"/>
  <c r="F8" i="123"/>
  <c r="F90" i="123" s="1"/>
  <c r="F93" i="123" s="1"/>
  <c r="G8" i="123"/>
  <c r="G90" i="123" s="1"/>
  <c r="G93" i="123" s="1"/>
  <c r="H8" i="123"/>
  <c r="H90" i="123" s="1"/>
  <c r="H93" i="123" s="1"/>
  <c r="I8" i="123"/>
  <c r="I90" i="123" s="1"/>
  <c r="I93" i="123" s="1"/>
  <c r="E3" i="123"/>
  <c r="E22" i="123" s="1"/>
  <c r="E25" i="123" s="1"/>
  <c r="F3" i="123"/>
  <c r="F22" i="123" s="1"/>
  <c r="F25" i="123" s="1"/>
  <c r="G3" i="123"/>
  <c r="G22" i="123" s="1"/>
  <c r="G25" i="123" s="1"/>
  <c r="H3" i="123"/>
  <c r="H22" i="123" s="1"/>
  <c r="H25" i="123" s="1"/>
  <c r="I22" i="123"/>
  <c r="I25" i="123" s="1"/>
  <c r="D3" i="123"/>
  <c r="D22" i="123" s="1"/>
  <c r="D25" i="123" l="1"/>
  <c r="D26" i="123" s="1"/>
  <c r="E26" i="123" s="1"/>
  <c r="F26" i="123" s="1"/>
  <c r="G26" i="123" s="1"/>
  <c r="H26" i="123" s="1"/>
  <c r="I26" i="123" s="1"/>
  <c r="J26" i="123" s="1"/>
  <c r="D59" i="123"/>
  <c r="D60" i="123" s="1"/>
  <c r="D94" i="123"/>
  <c r="E94" i="123" s="1"/>
  <c r="F94" i="123" s="1"/>
  <c r="G94" i="123" s="1"/>
  <c r="H94" i="123" s="1"/>
  <c r="I94" i="123" s="1"/>
  <c r="J94" i="123" s="1"/>
  <c r="E77" i="123"/>
  <c r="F77" i="123"/>
  <c r="G77" i="123" s="1"/>
  <c r="H77" i="123" s="1"/>
  <c r="I77" i="123" s="1"/>
  <c r="J77" i="123" s="1"/>
  <c r="AC30" i="113" l="1"/>
  <c r="AB30" i="113"/>
  <c r="AA30" i="113"/>
  <c r="Z30" i="113"/>
  <c r="Y30" i="113"/>
  <c r="X30" i="113"/>
  <c r="W30" i="113"/>
  <c r="V30" i="113"/>
  <c r="U30" i="113"/>
  <c r="T30" i="113"/>
  <c r="S30" i="113"/>
  <c r="R30" i="113"/>
  <c r="Q30" i="113"/>
  <c r="P30" i="113"/>
  <c r="K14" i="123" s="1"/>
  <c r="O30" i="113"/>
  <c r="J14" i="123" s="1"/>
  <c r="N30" i="113"/>
  <c r="I14" i="123" s="1"/>
  <c r="M30" i="113"/>
  <c r="H14" i="123" s="1"/>
  <c r="L30" i="113"/>
  <c r="G14" i="123" s="1"/>
  <c r="K30" i="113"/>
  <c r="F14" i="123" s="1"/>
  <c r="J30" i="113"/>
  <c r="E14" i="123" s="1"/>
  <c r="I30" i="113"/>
  <c r="D14" i="123" s="1"/>
  <c r="AC29" i="113"/>
  <c r="AB29" i="113"/>
  <c r="AA29" i="113"/>
  <c r="Z29" i="113"/>
  <c r="Y29" i="113"/>
  <c r="X29" i="113"/>
  <c r="W29" i="113"/>
  <c r="V29" i="113"/>
  <c r="U29" i="113"/>
  <c r="T29" i="113"/>
  <c r="S29" i="113"/>
  <c r="R29" i="113"/>
  <c r="Q29" i="113"/>
  <c r="P29" i="113"/>
  <c r="K31" i="123" s="1"/>
  <c r="O29" i="113"/>
  <c r="J31" i="123" s="1"/>
  <c r="N29" i="113"/>
  <c r="I31" i="123" s="1"/>
  <c r="M29" i="113"/>
  <c r="H31" i="123" s="1"/>
  <c r="L29" i="113"/>
  <c r="G31" i="123" s="1"/>
  <c r="K29" i="113"/>
  <c r="F31" i="123" s="1"/>
  <c r="J29" i="113"/>
  <c r="E31" i="123" s="1"/>
  <c r="I29" i="113"/>
  <c r="D31" i="123" s="1"/>
  <c r="AC28" i="113"/>
  <c r="AB28" i="113"/>
  <c r="AA28" i="113"/>
  <c r="Z28" i="113"/>
  <c r="Y28" i="113"/>
  <c r="X28" i="113"/>
  <c r="W28" i="113"/>
  <c r="V28" i="113"/>
  <c r="U28" i="113"/>
  <c r="T28" i="113"/>
  <c r="S28" i="113"/>
  <c r="R28" i="113"/>
  <c r="Q28" i="113"/>
  <c r="P28" i="113"/>
  <c r="K82" i="123" s="1"/>
  <c r="O28" i="113"/>
  <c r="J82" i="123" s="1"/>
  <c r="N28" i="113"/>
  <c r="I82" i="123" s="1"/>
  <c r="M28" i="113"/>
  <c r="H82" i="123" s="1"/>
  <c r="L28" i="113"/>
  <c r="G82" i="123" s="1"/>
  <c r="K28" i="113"/>
  <c r="F82" i="123" s="1"/>
  <c r="J28" i="113"/>
  <c r="E82" i="123" s="1"/>
  <c r="I28" i="113"/>
  <c r="D82" i="123" s="1"/>
  <c r="AC27" i="113"/>
  <c r="AB27" i="113"/>
  <c r="AA27" i="113"/>
  <c r="Z27" i="113"/>
  <c r="Y27" i="113"/>
  <c r="X27" i="113"/>
  <c r="W27" i="113"/>
  <c r="V27" i="113"/>
  <c r="U27" i="113"/>
  <c r="T27" i="113"/>
  <c r="S27" i="113"/>
  <c r="R27" i="113"/>
  <c r="Q27" i="113"/>
  <c r="P27" i="113"/>
  <c r="K48" i="123" s="1"/>
  <c r="O27" i="113"/>
  <c r="J48" i="123" s="1"/>
  <c r="N27" i="113"/>
  <c r="I48" i="123" s="1"/>
  <c r="M27" i="113"/>
  <c r="H48" i="123" s="1"/>
  <c r="L27" i="113"/>
  <c r="G48" i="123" s="1"/>
  <c r="K27" i="113"/>
  <c r="F48" i="123" s="1"/>
  <c r="J27" i="113"/>
  <c r="E48" i="123" s="1"/>
  <c r="I27" i="113"/>
  <c r="D48" i="123" s="1"/>
  <c r="AC26" i="113"/>
  <c r="AB26" i="113"/>
  <c r="AA26" i="113"/>
  <c r="Z26" i="113"/>
  <c r="Y26" i="113"/>
  <c r="X26" i="113"/>
  <c r="W26" i="113"/>
  <c r="V26" i="113"/>
  <c r="U26" i="113"/>
  <c r="T26" i="113"/>
  <c r="S26" i="113"/>
  <c r="R26" i="113"/>
  <c r="Q26" i="113"/>
  <c r="P26" i="113"/>
  <c r="K65" i="123" s="1"/>
  <c r="O26" i="113"/>
  <c r="J65" i="123" s="1"/>
  <c r="N26" i="113"/>
  <c r="M26" i="113"/>
  <c r="L26" i="113"/>
  <c r="K26" i="113"/>
  <c r="J26" i="113"/>
  <c r="I26" i="113"/>
  <c r="AC22" i="113"/>
  <c r="AB22" i="113"/>
  <c r="AA22" i="113"/>
  <c r="Z22" i="113"/>
  <c r="Y22" i="113"/>
  <c r="X22" i="113"/>
  <c r="W22" i="113"/>
  <c r="V22" i="113"/>
  <c r="U22" i="113"/>
  <c r="T22" i="113"/>
  <c r="S22" i="113"/>
  <c r="R22" i="113"/>
  <c r="Q22" i="113"/>
  <c r="P22" i="113"/>
  <c r="O22" i="113"/>
  <c r="N22" i="113"/>
  <c r="M22" i="113"/>
  <c r="L22" i="113"/>
  <c r="K22" i="113"/>
  <c r="J22" i="113"/>
  <c r="AY20" i="113"/>
  <c r="AX20" i="113"/>
  <c r="AW20" i="113"/>
  <c r="AV20" i="113"/>
  <c r="AU20" i="113"/>
  <c r="AT20" i="113"/>
  <c r="AS20" i="113"/>
  <c r="AR20" i="113"/>
  <c r="AQ20" i="113"/>
  <c r="AP20" i="113"/>
  <c r="AO20" i="113"/>
  <c r="AN20" i="113"/>
  <c r="AM20" i="113"/>
  <c r="AL20" i="113"/>
  <c r="AK20" i="113"/>
  <c r="AJ20" i="113"/>
  <c r="AI20" i="113"/>
  <c r="AH20" i="113"/>
  <c r="AG20" i="113"/>
  <c r="AF20" i="113"/>
  <c r="AE20" i="113"/>
  <c r="AD20" i="113"/>
  <c r="H20" i="113"/>
  <c r="AY17" i="113"/>
  <c r="AX17" i="113"/>
  <c r="AW17" i="113"/>
  <c r="AV17" i="113"/>
  <c r="AU17" i="113"/>
  <c r="AT17" i="113"/>
  <c r="AS17" i="113"/>
  <c r="AR17" i="113"/>
  <c r="AQ17" i="113"/>
  <c r="AP17" i="113"/>
  <c r="AO17" i="113"/>
  <c r="AN17" i="113"/>
  <c r="AM17" i="113"/>
  <c r="AL17" i="113"/>
  <c r="AK17" i="113"/>
  <c r="AJ17" i="113"/>
  <c r="AI17" i="113"/>
  <c r="AH17" i="113"/>
  <c r="AG17" i="113"/>
  <c r="AF17" i="113"/>
  <c r="AE17" i="113"/>
  <c r="AD17" i="113"/>
  <c r="H17" i="113"/>
  <c r="AY16" i="113"/>
  <c r="AX16" i="113"/>
  <c r="AW16" i="113"/>
  <c r="AV16" i="113"/>
  <c r="AU16" i="113"/>
  <c r="AT16" i="113"/>
  <c r="AS16" i="113"/>
  <c r="AR16" i="113"/>
  <c r="AQ16" i="113"/>
  <c r="AP16" i="113"/>
  <c r="AO16" i="113"/>
  <c r="AN16" i="113"/>
  <c r="AM16" i="113"/>
  <c r="AL16" i="113"/>
  <c r="AK16" i="113"/>
  <c r="AJ16" i="113"/>
  <c r="AI16" i="113"/>
  <c r="AH16" i="113"/>
  <c r="AG16" i="113"/>
  <c r="AF16" i="113"/>
  <c r="AE16" i="113"/>
  <c r="AD16" i="113"/>
  <c r="H16" i="113"/>
  <c r="AY14" i="113"/>
  <c r="AC38" i="113" s="1"/>
  <c r="AX14" i="113"/>
  <c r="AB38" i="113" s="1"/>
  <c r="AW14" i="113"/>
  <c r="AA38" i="113" s="1"/>
  <c r="AV14" i="113"/>
  <c r="Z38" i="113" s="1"/>
  <c r="AU14" i="113"/>
  <c r="Y38" i="113" s="1"/>
  <c r="AT14" i="113"/>
  <c r="X38" i="113" s="1"/>
  <c r="AS14" i="113"/>
  <c r="W38" i="113" s="1"/>
  <c r="AR14" i="113"/>
  <c r="V38" i="113" s="1"/>
  <c r="AQ14" i="113"/>
  <c r="U38" i="113" s="1"/>
  <c r="AP14" i="113"/>
  <c r="T38" i="113" s="1"/>
  <c r="AO14" i="113"/>
  <c r="S38" i="113" s="1"/>
  <c r="AN14" i="113"/>
  <c r="R38" i="113" s="1"/>
  <c r="AM14" i="113"/>
  <c r="Q38" i="113" s="1"/>
  <c r="AL14" i="113"/>
  <c r="P38" i="113" s="1"/>
  <c r="K32" i="123" s="1"/>
  <c r="AK14" i="113"/>
  <c r="O38" i="113" s="1"/>
  <c r="J32" i="123" s="1"/>
  <c r="AJ14" i="113"/>
  <c r="N38" i="113" s="1"/>
  <c r="I32" i="123" s="1"/>
  <c r="AI14" i="113"/>
  <c r="M38" i="113" s="1"/>
  <c r="H32" i="123" s="1"/>
  <c r="AH14" i="113"/>
  <c r="L38" i="113" s="1"/>
  <c r="G32" i="123" s="1"/>
  <c r="AG14" i="113"/>
  <c r="K38" i="113" s="1"/>
  <c r="F32" i="123" s="1"/>
  <c r="AF14" i="113"/>
  <c r="J38" i="113" s="1"/>
  <c r="E32" i="123" s="1"/>
  <c r="AE14" i="113"/>
  <c r="I38" i="113" s="1"/>
  <c r="AD14" i="113"/>
  <c r="AD29" i="113" s="1"/>
  <c r="H14" i="113"/>
  <c r="AY13" i="113"/>
  <c r="AX13" i="113"/>
  <c r="AW13" i="113"/>
  <c r="AV13" i="113"/>
  <c r="AU13" i="113"/>
  <c r="AT13" i="113"/>
  <c r="AS13" i="113"/>
  <c r="AR13" i="113"/>
  <c r="AQ13" i="113"/>
  <c r="AP13" i="113"/>
  <c r="AO13" i="113"/>
  <c r="AN13" i="113"/>
  <c r="AM13" i="113"/>
  <c r="AL13" i="113"/>
  <c r="AK13" i="113"/>
  <c r="AJ13" i="113"/>
  <c r="AI13" i="113"/>
  <c r="AH13" i="113"/>
  <c r="AG13" i="113"/>
  <c r="AF13" i="113"/>
  <c r="AE13" i="113"/>
  <c r="AD13" i="113"/>
  <c r="H13" i="113"/>
  <c r="AY12" i="113"/>
  <c r="AX12" i="113"/>
  <c r="AW12" i="113"/>
  <c r="AV12" i="113"/>
  <c r="AU12" i="113"/>
  <c r="AT12" i="113"/>
  <c r="AS12" i="113"/>
  <c r="AR12" i="113"/>
  <c r="AQ12" i="113"/>
  <c r="AP12" i="113"/>
  <c r="AO12" i="113"/>
  <c r="AN12" i="113"/>
  <c r="AM12" i="113"/>
  <c r="AL12" i="113"/>
  <c r="AK12" i="113"/>
  <c r="AJ12" i="113"/>
  <c r="AI12" i="113"/>
  <c r="AH12" i="113"/>
  <c r="AG12" i="113"/>
  <c r="AF12" i="113"/>
  <c r="AE12" i="113"/>
  <c r="AD12" i="113"/>
  <c r="H12" i="113"/>
  <c r="AY11" i="113"/>
  <c r="AX11" i="113"/>
  <c r="AW11" i="113"/>
  <c r="AV11" i="113"/>
  <c r="AU11" i="113"/>
  <c r="AT11" i="113"/>
  <c r="AS11" i="113"/>
  <c r="AR11" i="113"/>
  <c r="AQ11" i="113"/>
  <c r="AP11" i="113"/>
  <c r="AO11" i="113"/>
  <c r="AN11" i="113"/>
  <c r="AM11" i="113"/>
  <c r="AL11" i="113"/>
  <c r="AK11" i="113"/>
  <c r="AJ11" i="113"/>
  <c r="AI11" i="113"/>
  <c r="AH11" i="113"/>
  <c r="AG11" i="113"/>
  <c r="AF11" i="113"/>
  <c r="AE11" i="113"/>
  <c r="AD11" i="113"/>
  <c r="H11" i="113"/>
  <c r="AY10" i="113"/>
  <c r="AX10" i="113"/>
  <c r="AW10" i="113"/>
  <c r="AV10" i="113"/>
  <c r="AU10" i="113"/>
  <c r="AT10" i="113"/>
  <c r="AS10" i="113"/>
  <c r="AR10" i="113"/>
  <c r="AQ10" i="113"/>
  <c r="AP10" i="113"/>
  <c r="AO10" i="113"/>
  <c r="AN10" i="113"/>
  <c r="AM10" i="113"/>
  <c r="AL10" i="113"/>
  <c r="AK10" i="113"/>
  <c r="AJ10" i="113"/>
  <c r="AI10" i="113"/>
  <c r="AH10" i="113"/>
  <c r="AG10" i="113"/>
  <c r="AF10" i="113"/>
  <c r="AE10" i="113"/>
  <c r="AD10" i="113"/>
  <c r="H10" i="113"/>
  <c r="AY9" i="113"/>
  <c r="AX9" i="113"/>
  <c r="AW9" i="113"/>
  <c r="AV9" i="113"/>
  <c r="AU9" i="113"/>
  <c r="AT9" i="113"/>
  <c r="AS9" i="113"/>
  <c r="AR9" i="113"/>
  <c r="AQ9" i="113"/>
  <c r="AP9" i="113"/>
  <c r="AO9" i="113"/>
  <c r="AN9" i="113"/>
  <c r="AM9" i="113"/>
  <c r="AL9" i="113"/>
  <c r="AK9" i="113"/>
  <c r="AJ9" i="113"/>
  <c r="AI9" i="113"/>
  <c r="AH9" i="113"/>
  <c r="AG9" i="113"/>
  <c r="AF9" i="113"/>
  <c r="AE9" i="113"/>
  <c r="AD9" i="113"/>
  <c r="H9" i="113"/>
  <c r="AY8" i="113"/>
  <c r="AX8" i="113"/>
  <c r="AW8" i="113"/>
  <c r="AV8" i="113"/>
  <c r="AU8" i="113"/>
  <c r="AT8" i="113"/>
  <c r="AS8" i="113"/>
  <c r="AR8" i="113"/>
  <c r="AQ8" i="113"/>
  <c r="AP8" i="113"/>
  <c r="AO8" i="113"/>
  <c r="AN8" i="113"/>
  <c r="AM8" i="113"/>
  <c r="AL8" i="113"/>
  <c r="AK8" i="113"/>
  <c r="AJ8" i="113"/>
  <c r="AI8" i="113"/>
  <c r="AH8" i="113"/>
  <c r="AG8" i="113"/>
  <c r="AF8" i="113"/>
  <c r="AE8" i="113"/>
  <c r="AD8" i="113"/>
  <c r="H8" i="113"/>
  <c r="AY7" i="113"/>
  <c r="AC36" i="113" s="1"/>
  <c r="AX7" i="113"/>
  <c r="AB36" i="113" s="1"/>
  <c r="AW7" i="113"/>
  <c r="AA36" i="113" s="1"/>
  <c r="AV7" i="113"/>
  <c r="Z36" i="113" s="1"/>
  <c r="AU7" i="113"/>
  <c r="Y36" i="113" s="1"/>
  <c r="AT7" i="113"/>
  <c r="X36" i="113" s="1"/>
  <c r="AS7" i="113"/>
  <c r="W36" i="113" s="1"/>
  <c r="AR7" i="113"/>
  <c r="V36" i="113" s="1"/>
  <c r="AQ7" i="113"/>
  <c r="U36" i="113" s="1"/>
  <c r="AP7" i="113"/>
  <c r="T36" i="113" s="1"/>
  <c r="AO7" i="113"/>
  <c r="S36" i="113" s="1"/>
  <c r="AN7" i="113"/>
  <c r="R36" i="113" s="1"/>
  <c r="AM7" i="113"/>
  <c r="AL7" i="113"/>
  <c r="P36" i="113" s="1"/>
  <c r="K49" i="123" s="1"/>
  <c r="AK7" i="113"/>
  <c r="O36" i="113" s="1"/>
  <c r="J49" i="123" s="1"/>
  <c r="AJ7" i="113"/>
  <c r="N36" i="113" s="1"/>
  <c r="I49" i="123" s="1"/>
  <c r="AI7" i="113"/>
  <c r="M36" i="113" s="1"/>
  <c r="H49" i="123" s="1"/>
  <c r="AH7" i="113"/>
  <c r="L36" i="113" s="1"/>
  <c r="G49" i="123" s="1"/>
  <c r="AG7" i="113"/>
  <c r="K36" i="113" s="1"/>
  <c r="F49" i="123" s="1"/>
  <c r="AF7" i="113"/>
  <c r="J36" i="113" s="1"/>
  <c r="E49" i="123" s="1"/>
  <c r="AE7" i="113"/>
  <c r="I36" i="113" s="1"/>
  <c r="AD7" i="113"/>
  <c r="AD27" i="113" s="1"/>
  <c r="H7" i="113"/>
  <c r="Z8" i="174" l="1"/>
  <c r="Z8" i="168"/>
  <c r="C17" i="185"/>
  <c r="C15" i="185"/>
  <c r="AJ8" i="168"/>
  <c r="AJ8" i="174"/>
  <c r="AH8" i="168"/>
  <c r="AG8" i="174"/>
  <c r="AH8" i="174"/>
  <c r="AB8" i="168"/>
  <c r="AB49" i="168" s="1"/>
  <c r="AA8" i="174"/>
  <c r="AA39" i="174" s="1"/>
  <c r="AI8" i="174"/>
  <c r="AA8" i="168"/>
  <c r="AA39" i="168" s="1"/>
  <c r="AB8" i="174"/>
  <c r="AB49" i="174" s="1"/>
  <c r="AC8" i="168"/>
  <c r="AC59" i="168" s="1"/>
  <c r="AD8" i="168"/>
  <c r="AC8" i="174"/>
  <c r="AC59" i="174" s="1"/>
  <c r="AI8" i="168"/>
  <c r="AE8" i="168"/>
  <c r="AD8" i="174"/>
  <c r="AF8" i="168"/>
  <c r="AE8" i="174"/>
  <c r="AG8" i="168"/>
  <c r="AF8" i="174"/>
  <c r="D49" i="123"/>
  <c r="D32" i="123"/>
  <c r="L39" i="113"/>
  <c r="G15" i="123" s="1"/>
  <c r="I37" i="113"/>
  <c r="D83" i="123" s="1"/>
  <c r="Q37" i="113"/>
  <c r="Y37" i="113"/>
  <c r="T37" i="113"/>
  <c r="AC35" i="113"/>
  <c r="AY22" i="113"/>
  <c r="L37" i="113"/>
  <c r="G83" i="123" s="1"/>
  <c r="AD30" i="113"/>
  <c r="O37" i="113"/>
  <c r="W37" i="113"/>
  <c r="K39" i="113"/>
  <c r="F15" i="123" s="1"/>
  <c r="S39" i="113"/>
  <c r="AA39" i="113"/>
  <c r="M35" i="113"/>
  <c r="H66" i="123" s="1"/>
  <c r="X39" i="113"/>
  <c r="AD28" i="113"/>
  <c r="P37" i="113"/>
  <c r="X37" i="113"/>
  <c r="I35" i="113"/>
  <c r="Q35" i="113"/>
  <c r="Y35" i="113"/>
  <c r="T39" i="113"/>
  <c r="AB39" i="113"/>
  <c r="J37" i="113"/>
  <c r="E83" i="123" s="1"/>
  <c r="R37" i="113"/>
  <c r="Z37" i="113"/>
  <c r="K35" i="113"/>
  <c r="F66" i="123" s="1"/>
  <c r="N39" i="113"/>
  <c r="I15" i="123" s="1"/>
  <c r="V39" i="113"/>
  <c r="AQ22" i="113"/>
  <c r="U35" i="113"/>
  <c r="AI22" i="113"/>
  <c r="AB37" i="113"/>
  <c r="P39" i="113"/>
  <c r="K15" i="123" s="1"/>
  <c r="AZ13" i="113"/>
  <c r="X31" i="113"/>
  <c r="P31" i="113"/>
  <c r="U37" i="113"/>
  <c r="AC37" i="113"/>
  <c r="N35" i="113"/>
  <c r="V35" i="113"/>
  <c r="I39" i="113"/>
  <c r="Q39" i="113"/>
  <c r="Y39" i="113"/>
  <c r="I31" i="113"/>
  <c r="D65" i="123"/>
  <c r="Q31" i="113"/>
  <c r="Y31" i="113"/>
  <c r="AR22" i="113"/>
  <c r="M37" i="113"/>
  <c r="H83" i="123" s="1"/>
  <c r="N37" i="113"/>
  <c r="I83" i="123" s="1"/>
  <c r="V37" i="113"/>
  <c r="W35" i="113"/>
  <c r="AZ11" i="113"/>
  <c r="J39" i="113"/>
  <c r="E15" i="123" s="1"/>
  <c r="R39" i="113"/>
  <c r="Z39" i="113"/>
  <c r="J31" i="113"/>
  <c r="E65" i="123"/>
  <c r="R31" i="113"/>
  <c r="Z31" i="113"/>
  <c r="AD26" i="113"/>
  <c r="P35" i="113"/>
  <c r="K66" i="123" s="1"/>
  <c r="X35" i="113"/>
  <c r="AZ20" i="113"/>
  <c r="K31" i="113"/>
  <c r="F65" i="123"/>
  <c r="S31" i="113"/>
  <c r="AA31" i="113"/>
  <c r="AJ22" i="113"/>
  <c r="AM22" i="113"/>
  <c r="AZ17" i="113"/>
  <c r="L31" i="113"/>
  <c r="G65" i="123"/>
  <c r="T31" i="113"/>
  <c r="AB31" i="113"/>
  <c r="AU22" i="113"/>
  <c r="AF22" i="113"/>
  <c r="AN22" i="113"/>
  <c r="AV22" i="113"/>
  <c r="J35" i="113"/>
  <c r="E66" i="123" s="1"/>
  <c r="R35" i="113"/>
  <c r="Z35" i="113"/>
  <c r="M39" i="113"/>
  <c r="H15" i="123" s="1"/>
  <c r="U39" i="113"/>
  <c r="AC39" i="113"/>
  <c r="M31" i="113"/>
  <c r="H65" i="123"/>
  <c r="U31" i="113"/>
  <c r="AC31" i="113"/>
  <c r="AG22" i="113"/>
  <c r="AW22" i="113"/>
  <c r="S35" i="113"/>
  <c r="AA35" i="113"/>
  <c r="AZ16" i="113"/>
  <c r="N31" i="113"/>
  <c r="I65" i="123"/>
  <c r="V31" i="113"/>
  <c r="AO22" i="113"/>
  <c r="AH22" i="113"/>
  <c r="AP22" i="113"/>
  <c r="AX22" i="113"/>
  <c r="AZ8" i="113"/>
  <c r="S37" i="113"/>
  <c r="AA37" i="113"/>
  <c r="L35" i="113"/>
  <c r="G66" i="123" s="1"/>
  <c r="T35" i="113"/>
  <c r="AB35" i="113"/>
  <c r="O39" i="113"/>
  <c r="J15" i="123" s="1"/>
  <c r="W39" i="113"/>
  <c r="W31" i="113"/>
  <c r="O35" i="113"/>
  <c r="AZ10" i="113"/>
  <c r="O31" i="113"/>
  <c r="AK22" i="113"/>
  <c r="AS22" i="113"/>
  <c r="AD22" i="113"/>
  <c r="AL22" i="113"/>
  <c r="AT22" i="113"/>
  <c r="AE22" i="113"/>
  <c r="K37" i="113"/>
  <c r="AZ7" i="113"/>
  <c r="AD36" i="113" s="1"/>
  <c r="AZ9" i="113"/>
  <c r="AZ12" i="113"/>
  <c r="AZ14" i="113"/>
  <c r="AD38" i="113" s="1"/>
  <c r="Z8" i="172" l="1"/>
  <c r="Z8" i="170"/>
  <c r="K83" i="123"/>
  <c r="Z8" i="166"/>
  <c r="Q40" i="113"/>
  <c r="C13" i="185"/>
  <c r="C12" i="185"/>
  <c r="C14" i="185"/>
  <c r="AJ8" i="172"/>
  <c r="AJ8" i="170"/>
  <c r="AJ8" i="166"/>
  <c r="AH8" i="172"/>
  <c r="AF8" i="166"/>
  <c r="AF8" i="170"/>
  <c r="AI8" i="172"/>
  <c r="AI119" i="168"/>
  <c r="AI124" i="168"/>
  <c r="AG104" i="174"/>
  <c r="AG102" i="174"/>
  <c r="AG99" i="174"/>
  <c r="AF8" i="172"/>
  <c r="AA8" i="172"/>
  <c r="AA39" i="172" s="1"/>
  <c r="AC8" i="170"/>
  <c r="AC59" i="170" s="1"/>
  <c r="AD8" i="166"/>
  <c r="AD69" i="174"/>
  <c r="AD74" i="174"/>
  <c r="AC64" i="168"/>
  <c r="AC62" i="168"/>
  <c r="B59" i="168"/>
  <c r="AC130" i="168"/>
  <c r="AC136" i="168" s="1"/>
  <c r="AI119" i="174"/>
  <c r="AI124" i="174"/>
  <c r="AB130" i="168"/>
  <c r="AB136" i="168" s="1"/>
  <c r="AB52" i="168"/>
  <c r="B49" i="168"/>
  <c r="AB54" i="168"/>
  <c r="AI8" i="166"/>
  <c r="B59" i="174"/>
  <c r="AC62" i="174"/>
  <c r="AC64" i="174"/>
  <c r="AC130" i="174"/>
  <c r="AC136" i="174" s="1"/>
  <c r="AD8" i="172"/>
  <c r="AE8" i="170"/>
  <c r="AH8" i="166"/>
  <c r="AG8" i="166"/>
  <c r="AA8" i="166"/>
  <c r="AA39" i="166" s="1"/>
  <c r="AE79" i="174"/>
  <c r="AE84" i="174"/>
  <c r="B49" i="174"/>
  <c r="AB54" i="174"/>
  <c r="AB52" i="174"/>
  <c r="AB130" i="174"/>
  <c r="AB136" i="174" s="1"/>
  <c r="AH109" i="174"/>
  <c r="AH114" i="174"/>
  <c r="AH109" i="168"/>
  <c r="AH114" i="168"/>
  <c r="AC8" i="166"/>
  <c r="AC59" i="166" s="1"/>
  <c r="AB8" i="170"/>
  <c r="AB49" i="170" s="1"/>
  <c r="AE8" i="166"/>
  <c r="AB8" i="166"/>
  <c r="AB49" i="166" s="1"/>
  <c r="AA44" i="174"/>
  <c r="AA42" i="174"/>
  <c r="B39" i="174"/>
  <c r="AA130" i="174"/>
  <c r="AA136" i="174" s="1"/>
  <c r="AC8" i="172"/>
  <c r="AC59" i="172" s="1"/>
  <c r="AF89" i="174"/>
  <c r="AF94" i="174"/>
  <c r="AE79" i="168"/>
  <c r="AE84" i="168"/>
  <c r="AD69" i="168"/>
  <c r="AD74" i="168"/>
  <c r="AB8" i="172"/>
  <c r="AB49" i="172" s="1"/>
  <c r="AI8" i="170"/>
  <c r="AE8" i="172"/>
  <c r="AH8" i="170"/>
  <c r="Z29" i="174"/>
  <c r="B8" i="174"/>
  <c r="Z29" i="168"/>
  <c r="B8" i="168"/>
  <c r="AG8" i="170"/>
  <c r="AG8" i="172"/>
  <c r="AA8" i="170"/>
  <c r="AA39" i="170" s="1"/>
  <c r="AD8" i="170"/>
  <c r="AG99" i="168"/>
  <c r="AG102" i="168"/>
  <c r="AG104" i="168"/>
  <c r="AF89" i="168"/>
  <c r="AF94" i="168"/>
  <c r="B39" i="168"/>
  <c r="AA42" i="168"/>
  <c r="AA130" i="168"/>
  <c r="AA136" i="168" s="1"/>
  <c r="AA44" i="168"/>
  <c r="D15" i="123"/>
  <c r="D66" i="123"/>
  <c r="AD39" i="113"/>
  <c r="AB40" i="113"/>
  <c r="J66" i="123"/>
  <c r="J83" i="123"/>
  <c r="Z40" i="113"/>
  <c r="Y40" i="113"/>
  <c r="AC40" i="113"/>
  <c r="P40" i="113"/>
  <c r="I40" i="113"/>
  <c r="M40" i="113"/>
  <c r="AD31" i="113"/>
  <c r="X40" i="113"/>
  <c r="AA40" i="113"/>
  <c r="U40" i="113"/>
  <c r="AD35" i="113"/>
  <c r="J40" i="113"/>
  <c r="AD37" i="113"/>
  <c r="L40" i="113"/>
  <c r="S40" i="113"/>
  <c r="T40" i="113"/>
  <c r="K40" i="113"/>
  <c r="F83" i="123"/>
  <c r="V40" i="113"/>
  <c r="W40" i="113"/>
  <c r="N40" i="113"/>
  <c r="I66" i="123"/>
  <c r="O40" i="113"/>
  <c r="R40" i="113"/>
  <c r="AZ22" i="113"/>
  <c r="C8" i="185" l="1"/>
  <c r="AG94" i="168"/>
  <c r="AA44" i="170"/>
  <c r="AA42" i="170"/>
  <c r="B39" i="170"/>
  <c r="AA130" i="170"/>
  <c r="AA136" i="170" s="1"/>
  <c r="AB54" i="172"/>
  <c r="AB52" i="172"/>
  <c r="AB130" i="172"/>
  <c r="AB136" i="172" s="1"/>
  <c r="B49" i="172"/>
  <c r="AC64" i="172"/>
  <c r="B59" i="172"/>
  <c r="AC130" i="172"/>
  <c r="AC136" i="172" s="1"/>
  <c r="AC62" i="172"/>
  <c r="AB44" i="174"/>
  <c r="AA40" i="174"/>
  <c r="AD64" i="168"/>
  <c r="AF92" i="168"/>
  <c r="AF90" i="168" s="1"/>
  <c r="AF97" i="168" s="1"/>
  <c r="B89" i="168"/>
  <c r="AF130" i="168"/>
  <c r="AE74" i="168"/>
  <c r="AE79" i="166"/>
  <c r="AE84" i="166"/>
  <c r="AI114" i="168"/>
  <c r="AG99" i="166"/>
  <c r="AG104" i="166"/>
  <c r="AG102" i="166"/>
  <c r="AE79" i="170"/>
  <c r="AE84" i="170"/>
  <c r="AI119" i="166"/>
  <c r="AI124" i="166"/>
  <c r="AA44" i="172"/>
  <c r="AA130" i="172"/>
  <c r="AA136" i="172" s="1"/>
  <c r="AA42" i="172"/>
  <c r="B39" i="172"/>
  <c r="AH104" i="174"/>
  <c r="AG100" i="174"/>
  <c r="AI119" i="172"/>
  <c r="AI124" i="172"/>
  <c r="AG100" i="168"/>
  <c r="AH104" i="168"/>
  <c r="Z32" i="168"/>
  <c r="Z34" i="168"/>
  <c r="B29" i="168"/>
  <c r="Z130" i="168"/>
  <c r="AE79" i="172"/>
  <c r="AE84" i="172"/>
  <c r="B69" i="168"/>
  <c r="AD130" i="168"/>
  <c r="AD72" i="168"/>
  <c r="AD70" i="168" s="1"/>
  <c r="AH112" i="168"/>
  <c r="AH130" i="168"/>
  <c r="B109" i="168"/>
  <c r="AC60" i="174"/>
  <c r="AD64" i="174"/>
  <c r="AJ124" i="174"/>
  <c r="AH109" i="172"/>
  <c r="AH114" i="172"/>
  <c r="AF84" i="168"/>
  <c r="Z29" i="166"/>
  <c r="B8" i="166"/>
  <c r="AI114" i="174"/>
  <c r="AF84" i="174"/>
  <c r="AI122" i="174"/>
  <c r="B119" i="174"/>
  <c r="AI130" i="174"/>
  <c r="AD69" i="166"/>
  <c r="AD74" i="166"/>
  <c r="AB44" i="168"/>
  <c r="AA40" i="168"/>
  <c r="AG130" i="168"/>
  <c r="B99" i="168"/>
  <c r="AG104" i="172"/>
  <c r="AG99" i="172"/>
  <c r="AG102" i="172"/>
  <c r="Z34" i="174"/>
  <c r="Z32" i="174"/>
  <c r="Z130" i="174"/>
  <c r="B29" i="174"/>
  <c r="AI119" i="170"/>
  <c r="AI124" i="170"/>
  <c r="AE130" i="168"/>
  <c r="B79" i="168"/>
  <c r="AE82" i="168"/>
  <c r="AB54" i="170"/>
  <c r="B49" i="170"/>
  <c r="AB52" i="170"/>
  <c r="AB130" i="170"/>
  <c r="AB136" i="170" s="1"/>
  <c r="AH112" i="174"/>
  <c r="AH110" i="174" s="1"/>
  <c r="B109" i="174"/>
  <c r="AH130" i="174"/>
  <c r="AE82" i="174"/>
  <c r="B79" i="174"/>
  <c r="AE130" i="174"/>
  <c r="AH109" i="166"/>
  <c r="AH114" i="166"/>
  <c r="AD69" i="172"/>
  <c r="AD74" i="172"/>
  <c r="AF89" i="172"/>
  <c r="AF94" i="172"/>
  <c r="AJ124" i="168"/>
  <c r="AF89" i="170"/>
  <c r="AF94" i="170"/>
  <c r="AG94" i="174"/>
  <c r="AE74" i="174"/>
  <c r="B119" i="168"/>
  <c r="AI130" i="168"/>
  <c r="AI122" i="168"/>
  <c r="AD69" i="170"/>
  <c r="AD74" i="170"/>
  <c r="B89" i="174"/>
  <c r="AF92" i="174"/>
  <c r="AF130" i="174"/>
  <c r="B59" i="166"/>
  <c r="AC130" i="166"/>
  <c r="AC136" i="166" s="1"/>
  <c r="AC64" i="166"/>
  <c r="AC62" i="166"/>
  <c r="AB50" i="168"/>
  <c r="AC54" i="168"/>
  <c r="AD72" i="174"/>
  <c r="B69" i="174"/>
  <c r="AD130" i="174"/>
  <c r="AC64" i="170"/>
  <c r="AC62" i="170"/>
  <c r="B59" i="170"/>
  <c r="AC130" i="170"/>
  <c r="AC136" i="170" s="1"/>
  <c r="Z29" i="172"/>
  <c r="B8" i="172"/>
  <c r="AG104" i="170"/>
  <c r="AG102" i="170"/>
  <c r="AG99" i="170"/>
  <c r="AH109" i="170"/>
  <c r="AH114" i="170"/>
  <c r="AB130" i="166"/>
  <c r="AB136" i="166" s="1"/>
  <c r="AB54" i="166"/>
  <c r="AB52" i="166"/>
  <c r="B49" i="166"/>
  <c r="AB50" i="174"/>
  <c r="AC54" i="174"/>
  <c r="B39" i="166"/>
  <c r="AA44" i="166"/>
  <c r="AA42" i="166"/>
  <c r="AA130" i="166"/>
  <c r="AA136" i="166" s="1"/>
  <c r="B8" i="170"/>
  <c r="Z29" i="170"/>
  <c r="AC60" i="168"/>
  <c r="B99" i="174"/>
  <c r="AG130" i="174"/>
  <c r="AF89" i="166"/>
  <c r="AF94" i="166"/>
  <c r="AD40" i="113"/>
  <c r="AH117" i="174" l="1"/>
  <c r="AD77" i="168"/>
  <c r="AD70" i="174"/>
  <c r="Z130" i="170"/>
  <c r="Z32" i="170"/>
  <c r="B29" i="170"/>
  <c r="Z34" i="170"/>
  <c r="AC55" i="174"/>
  <c r="AD54" i="174"/>
  <c r="AB50" i="166"/>
  <c r="AG94" i="170"/>
  <c r="AE80" i="168"/>
  <c r="Z136" i="174"/>
  <c r="B130" i="174"/>
  <c r="Z34" i="166"/>
  <c r="B29" i="166"/>
  <c r="Z32" i="166"/>
  <c r="Z130" i="166"/>
  <c r="AD65" i="174"/>
  <c r="AE64" i="174"/>
  <c r="AJ114" i="168"/>
  <c r="AI115" i="168"/>
  <c r="AE75" i="168"/>
  <c r="AF74" i="168"/>
  <c r="AC67" i="168"/>
  <c r="AB57" i="174"/>
  <c r="AC54" i="166"/>
  <c r="AC55" i="168"/>
  <c r="AD54" i="168"/>
  <c r="B89" i="170"/>
  <c r="AF92" i="170"/>
  <c r="AF130" i="170"/>
  <c r="Z30" i="174"/>
  <c r="Z132" i="174"/>
  <c r="AA47" i="168"/>
  <c r="AJ114" i="174"/>
  <c r="AI115" i="174"/>
  <c r="AC67" i="174"/>
  <c r="AF84" i="172"/>
  <c r="AA34" i="168"/>
  <c r="Z30" i="168"/>
  <c r="AG107" i="174"/>
  <c r="AG100" i="166"/>
  <c r="AH104" i="166"/>
  <c r="AF84" i="166"/>
  <c r="AC60" i="172"/>
  <c r="AI114" i="170"/>
  <c r="AB57" i="168"/>
  <c r="AA34" i="174"/>
  <c r="AB45" i="168"/>
  <c r="AC44" i="168"/>
  <c r="B79" i="172"/>
  <c r="AE82" i="172"/>
  <c r="AE80" i="172" s="1"/>
  <c r="AE130" i="172"/>
  <c r="Z132" i="168"/>
  <c r="AH105" i="174"/>
  <c r="AI104" i="174"/>
  <c r="AG130" i="166"/>
  <c r="B99" i="166"/>
  <c r="AG107" i="166"/>
  <c r="AE130" i="166"/>
  <c r="AE82" i="166"/>
  <c r="B79" i="166"/>
  <c r="AG92" i="168"/>
  <c r="AG90" i="168" s="1"/>
  <c r="AD65" i="168"/>
  <c r="AE64" i="168"/>
  <c r="AC54" i="172"/>
  <c r="AB50" i="172"/>
  <c r="AG95" i="168"/>
  <c r="AH94" i="168"/>
  <c r="AG94" i="166"/>
  <c r="B109" i="170"/>
  <c r="AH112" i="170"/>
  <c r="AH130" i="170"/>
  <c r="AC60" i="170"/>
  <c r="AD64" i="170"/>
  <c r="AC60" i="166"/>
  <c r="AD64" i="166"/>
  <c r="AI120" i="168"/>
  <c r="AJ124" i="170"/>
  <c r="AJ125" i="174"/>
  <c r="AK124" i="174"/>
  <c r="AE75" i="174"/>
  <c r="AF74" i="174"/>
  <c r="AJ125" i="168"/>
  <c r="AK124" i="168"/>
  <c r="AE74" i="172"/>
  <c r="AC54" i="170"/>
  <c r="AB50" i="170"/>
  <c r="AI122" i="170"/>
  <c r="AI120" i="170" s="1"/>
  <c r="B119" i="170"/>
  <c r="AI130" i="170"/>
  <c r="AG130" i="172"/>
  <c r="B99" i="172"/>
  <c r="AH105" i="168"/>
  <c r="AI104" i="168"/>
  <c r="AJ124" i="166"/>
  <c r="AD64" i="172"/>
  <c r="AG130" i="170"/>
  <c r="B99" i="170"/>
  <c r="AB44" i="166"/>
  <c r="AA40" i="166"/>
  <c r="AG100" i="170"/>
  <c r="AE74" i="170"/>
  <c r="AD130" i="172"/>
  <c r="AD72" i="172"/>
  <c r="AD70" i="172" s="1"/>
  <c r="B69" i="172"/>
  <c r="AH104" i="172"/>
  <c r="AG100" i="172"/>
  <c r="AI120" i="174"/>
  <c r="AF85" i="174"/>
  <c r="AG84" i="174"/>
  <c r="AG107" i="168"/>
  <c r="AH102" i="168" s="1"/>
  <c r="AJ124" i="172"/>
  <c r="B119" i="166"/>
  <c r="AI122" i="166"/>
  <c r="AI130" i="166"/>
  <c r="AF92" i="166"/>
  <c r="AF130" i="166"/>
  <c r="B89" i="166"/>
  <c r="AH104" i="170"/>
  <c r="Z34" i="172"/>
  <c r="Z130" i="172"/>
  <c r="B29" i="172"/>
  <c r="Z32" i="172"/>
  <c r="B69" i="170"/>
  <c r="AD72" i="170"/>
  <c r="AD130" i="170"/>
  <c r="AG95" i="174"/>
  <c r="AH94" i="174"/>
  <c r="AG94" i="172"/>
  <c r="AI114" i="166"/>
  <c r="AE74" i="166"/>
  <c r="AE80" i="174"/>
  <c r="AI114" i="172"/>
  <c r="AI122" i="172"/>
  <c r="AI130" i="172"/>
  <c r="B119" i="172"/>
  <c r="AF84" i="170"/>
  <c r="AA47" i="174"/>
  <c r="AF90" i="174"/>
  <c r="AF92" i="172"/>
  <c r="B89" i="172"/>
  <c r="AF130" i="172"/>
  <c r="B109" i="166"/>
  <c r="AH112" i="166"/>
  <c r="AH130" i="166"/>
  <c r="B69" i="166"/>
  <c r="AD72" i="166"/>
  <c r="AD70" i="166" s="1"/>
  <c r="AD130" i="166"/>
  <c r="AG84" i="168"/>
  <c r="AF85" i="168"/>
  <c r="AH130" i="172"/>
  <c r="B109" i="172"/>
  <c r="AH112" i="172"/>
  <c r="Z136" i="168"/>
  <c r="B130" i="168"/>
  <c r="AA40" i="172"/>
  <c r="AB44" i="172"/>
  <c r="AE82" i="170"/>
  <c r="B79" i="170"/>
  <c r="AE130" i="170"/>
  <c r="AH110" i="168"/>
  <c r="AB45" i="174"/>
  <c r="AC44" i="174"/>
  <c r="AB44" i="170"/>
  <c r="AA40" i="170"/>
  <c r="AI127" i="170" l="1"/>
  <c r="AD77" i="166"/>
  <c r="AE87" i="172"/>
  <c r="AG96" i="168"/>
  <c r="AE87" i="174"/>
  <c r="AG95" i="172"/>
  <c r="AH94" i="172"/>
  <c r="AI104" i="170"/>
  <c r="AH105" i="170"/>
  <c r="AH100" i="168"/>
  <c r="AE75" i="170"/>
  <c r="AF74" i="170"/>
  <c r="AC67" i="170"/>
  <c r="AA35" i="174"/>
  <c r="AB34" i="174"/>
  <c r="AE80" i="166"/>
  <c r="Z138" i="174"/>
  <c r="K35" i="123" s="1"/>
  <c r="AF90" i="170"/>
  <c r="AD77" i="174"/>
  <c r="AG85" i="168"/>
  <c r="AH84" i="168"/>
  <c r="AI127" i="174"/>
  <c r="AB57" i="170"/>
  <c r="AI127" i="168"/>
  <c r="AB57" i="172"/>
  <c r="AJ114" i="170"/>
  <c r="AI115" i="170"/>
  <c r="AF85" i="166"/>
  <c r="AG84" i="166"/>
  <c r="Z37" i="174"/>
  <c r="Z131" i="174"/>
  <c r="AG74" i="168"/>
  <c r="AF75" i="168"/>
  <c r="AA34" i="170"/>
  <c r="Z30" i="170"/>
  <c r="AI112" i="174"/>
  <c r="AA47" i="170"/>
  <c r="AC44" i="170"/>
  <c r="AB45" i="170"/>
  <c r="AB45" i="172"/>
  <c r="AC44" i="172"/>
  <c r="AB42" i="174"/>
  <c r="AI120" i="172"/>
  <c r="AC55" i="170"/>
  <c r="AD54" i="170"/>
  <c r="AF75" i="174"/>
  <c r="AG74" i="174"/>
  <c r="AD54" i="172"/>
  <c r="AC55" i="172"/>
  <c r="AH102" i="166"/>
  <c r="AC67" i="172"/>
  <c r="Z131" i="168"/>
  <c r="Z37" i="168"/>
  <c r="AD62" i="174"/>
  <c r="Z136" i="166"/>
  <c r="B130" i="166"/>
  <c r="AE72" i="168"/>
  <c r="AA47" i="172"/>
  <c r="AH110" i="172"/>
  <c r="AF74" i="166"/>
  <c r="AE75" i="166"/>
  <c r="Z30" i="172"/>
  <c r="Z132" i="172"/>
  <c r="AG107" i="172"/>
  <c r="AI105" i="168"/>
  <c r="AJ104" i="168"/>
  <c r="AK125" i="174"/>
  <c r="AL124" i="174"/>
  <c r="AF90" i="166"/>
  <c r="AH105" i="166"/>
  <c r="AI104" i="166"/>
  <c r="AH100" i="166"/>
  <c r="AB34" i="168"/>
  <c r="AA35" i="168"/>
  <c r="AE54" i="168"/>
  <c r="AD55" i="168"/>
  <c r="AD54" i="166"/>
  <c r="AC55" i="166"/>
  <c r="AE65" i="174"/>
  <c r="AF64" i="174"/>
  <c r="Z132" i="166"/>
  <c r="Z132" i="170"/>
  <c r="AH110" i="166"/>
  <c r="AI115" i="172"/>
  <c r="AJ114" i="172"/>
  <c r="AH95" i="174"/>
  <c r="AI94" i="174"/>
  <c r="AH105" i="172"/>
  <c r="AI104" i="172"/>
  <c r="AE64" i="166"/>
  <c r="AD65" i="166"/>
  <c r="AH110" i="170"/>
  <c r="AH94" i="166"/>
  <c r="AG95" i="166"/>
  <c r="Z138" i="168"/>
  <c r="K52" i="123" s="1"/>
  <c r="AG95" i="170"/>
  <c r="AH94" i="170"/>
  <c r="AB57" i="166"/>
  <c r="Z136" i="170"/>
  <c r="B130" i="170"/>
  <c r="AH117" i="168"/>
  <c r="AE80" i="170"/>
  <c r="AI115" i="166"/>
  <c r="AJ114" i="166"/>
  <c r="Z136" i="172"/>
  <c r="B130" i="172"/>
  <c r="AD77" i="172"/>
  <c r="AE75" i="172"/>
  <c r="AF74" i="172"/>
  <c r="AC67" i="166"/>
  <c r="AC45" i="168"/>
  <c r="AD44" i="168"/>
  <c r="AC52" i="168"/>
  <c r="AJ115" i="174"/>
  <c r="AK114" i="174"/>
  <c r="AB42" i="168"/>
  <c r="AC52" i="174"/>
  <c r="AK114" i="168"/>
  <c r="AJ115" i="168"/>
  <c r="AA34" i="166"/>
  <c r="Z30" i="166"/>
  <c r="AD44" i="174"/>
  <c r="AC45" i="174"/>
  <c r="AF97" i="174"/>
  <c r="AF85" i="170"/>
  <c r="AG84" i="170"/>
  <c r="AA34" i="172"/>
  <c r="AK124" i="172"/>
  <c r="AJ125" i="172"/>
  <c r="AG85" i="174"/>
  <c r="AH84" i="174"/>
  <c r="AA47" i="166"/>
  <c r="AD65" i="172"/>
  <c r="AE64" i="172"/>
  <c r="AI120" i="166"/>
  <c r="AH95" i="168"/>
  <c r="AI94" i="168"/>
  <c r="AI105" i="174"/>
  <c r="AJ104" i="174"/>
  <c r="AH102" i="174"/>
  <c r="AF85" i="172"/>
  <c r="AG84" i="172"/>
  <c r="AD62" i="168"/>
  <c r="AD55" i="174"/>
  <c r="AE54" i="174"/>
  <c r="AF90" i="172"/>
  <c r="AD70" i="170"/>
  <c r="AB45" i="166"/>
  <c r="AC44" i="166"/>
  <c r="AG107" i="170"/>
  <c r="AJ125" i="166"/>
  <c r="AK124" i="166"/>
  <c r="AK125" i="168"/>
  <c r="AL124" i="168"/>
  <c r="AJ125" i="170"/>
  <c r="AK124" i="170"/>
  <c r="AD65" i="170"/>
  <c r="AE64" i="170"/>
  <c r="AE65" i="168"/>
  <c r="AF64" i="168"/>
  <c r="AE87" i="168"/>
  <c r="AF97" i="172" l="1"/>
  <c r="AH84" i="170"/>
  <c r="AG85" i="170"/>
  <c r="AJ115" i="166"/>
  <c r="AK114" i="166"/>
  <c r="AC52" i="166"/>
  <c r="AH95" i="166"/>
  <c r="AI94" i="166"/>
  <c r="AE55" i="168"/>
  <c r="AF54" i="168"/>
  <c r="AF97" i="166"/>
  <c r="AB42" i="172"/>
  <c r="AD62" i="172"/>
  <c r="AH106" i="166"/>
  <c r="AG75" i="174"/>
  <c r="AH74" i="174"/>
  <c r="AB42" i="170"/>
  <c r="AI105" i="170"/>
  <c r="AJ104" i="170"/>
  <c r="AG93" i="168"/>
  <c r="AE65" i="170"/>
  <c r="AF64" i="170"/>
  <c r="AD60" i="168"/>
  <c r="AI127" i="166"/>
  <c r="AK115" i="174"/>
  <c r="AL114" i="174"/>
  <c r="AE72" i="172"/>
  <c r="AH117" i="166"/>
  <c r="AG64" i="174"/>
  <c r="AF65" i="174"/>
  <c r="AC52" i="172"/>
  <c r="AJ122" i="168"/>
  <c r="AJ122" i="174"/>
  <c r="AH85" i="168"/>
  <c r="AI84" i="168"/>
  <c r="AF97" i="170"/>
  <c r="AF82" i="174"/>
  <c r="AJ122" i="170"/>
  <c r="AK125" i="166"/>
  <c r="AL124" i="166"/>
  <c r="AD77" i="170"/>
  <c r="AJ105" i="174"/>
  <c r="AK104" i="174"/>
  <c r="AD62" i="166"/>
  <c r="AH117" i="170"/>
  <c r="AI105" i="172"/>
  <c r="AJ104" i="172"/>
  <c r="AJ115" i="172"/>
  <c r="AK114" i="172"/>
  <c r="AH84" i="166"/>
  <c r="AG85" i="166"/>
  <c r="AF65" i="168"/>
  <c r="AG64" i="168"/>
  <c r="AH84" i="172"/>
  <c r="AG85" i="172"/>
  <c r="AE65" i="172"/>
  <c r="AF64" i="172"/>
  <c r="AG92" i="174"/>
  <c r="Z131" i="166"/>
  <c r="Z37" i="166"/>
  <c r="AH102" i="172"/>
  <c r="AC45" i="172"/>
  <c r="AD44" i="172"/>
  <c r="AE87" i="166"/>
  <c r="AD62" i="170"/>
  <c r="AM124" i="168"/>
  <c r="AL125" i="168"/>
  <c r="AE55" i="174"/>
  <c r="AF54" i="174"/>
  <c r="AL124" i="172"/>
  <c r="AK125" i="172"/>
  <c r="AE44" i="174"/>
  <c r="AD45" i="174"/>
  <c r="AB34" i="166"/>
  <c r="AA35" i="166"/>
  <c r="AC50" i="174"/>
  <c r="AH95" i="170"/>
  <c r="AI94" i="170"/>
  <c r="AD55" i="166"/>
  <c r="AE54" i="166"/>
  <c r="AJ105" i="168"/>
  <c r="AK104" i="168"/>
  <c r="AE70" i="168"/>
  <c r="AD60" i="174"/>
  <c r="AD55" i="172"/>
  <c r="AE54" i="172"/>
  <c r="AI127" i="172"/>
  <c r="AI110" i="174"/>
  <c r="Z133" i="174"/>
  <c r="Z137" i="174"/>
  <c r="K34" i="123" s="1"/>
  <c r="AE72" i="174"/>
  <c r="AH106" i="168"/>
  <c r="AF82" i="168"/>
  <c r="AH102" i="170"/>
  <c r="AB42" i="166"/>
  <c r="AC50" i="168"/>
  <c r="AF75" i="172"/>
  <c r="AG74" i="172"/>
  <c r="AI112" i="168"/>
  <c r="AE65" i="166"/>
  <c r="AF64" i="166"/>
  <c r="AB35" i="168"/>
  <c r="AC34" i="168"/>
  <c r="AM124" i="174"/>
  <c r="AL125" i="174"/>
  <c r="AG74" i="166"/>
  <c r="AF75" i="166"/>
  <c r="Z134" i="168"/>
  <c r="AA32" i="168"/>
  <c r="AD55" i="170"/>
  <c r="AE54" i="170"/>
  <c r="Z134" i="174"/>
  <c r="AA32" i="174"/>
  <c r="AC34" i="174"/>
  <c r="AB35" i="174"/>
  <c r="AF75" i="170"/>
  <c r="AG74" i="170"/>
  <c r="AI94" i="172"/>
  <c r="AH95" i="172"/>
  <c r="AE72" i="166"/>
  <c r="AL124" i="170"/>
  <c r="AK125" i="170"/>
  <c r="AH100" i="174"/>
  <c r="AI95" i="168"/>
  <c r="AJ94" i="168"/>
  <c r="AE87" i="170"/>
  <c r="Z138" i="166"/>
  <c r="K86" i="123" s="1"/>
  <c r="Z138" i="172"/>
  <c r="K69" i="123" s="1"/>
  <c r="AH117" i="172"/>
  <c r="Z131" i="170"/>
  <c r="Z37" i="170"/>
  <c r="AH74" i="168"/>
  <c r="AG75" i="168"/>
  <c r="AJ115" i="170"/>
  <c r="AK114" i="170"/>
  <c r="AC45" i="166"/>
  <c r="AD44" i="166"/>
  <c r="AI84" i="174"/>
  <c r="AH85" i="174"/>
  <c r="AB34" i="172"/>
  <c r="AA35" i="172"/>
  <c r="AK115" i="168"/>
  <c r="AL114" i="168"/>
  <c r="AB40" i="168"/>
  <c r="AE44" i="168"/>
  <c r="AD45" i="168"/>
  <c r="AI95" i="174"/>
  <c r="AJ94" i="174"/>
  <c r="Z138" i="170"/>
  <c r="K18" i="123" s="1"/>
  <c r="AI105" i="166"/>
  <c r="AJ104" i="166"/>
  <c r="Z37" i="172"/>
  <c r="Z131" i="172"/>
  <c r="Z133" i="168"/>
  <c r="Z137" i="168"/>
  <c r="K51" i="123" s="1"/>
  <c r="AB40" i="174"/>
  <c r="AC45" i="170"/>
  <c r="AD44" i="170"/>
  <c r="AA35" i="170"/>
  <c r="AB34" i="170"/>
  <c r="AC52" i="170"/>
  <c r="AF82" i="172"/>
  <c r="AC34" i="172" l="1"/>
  <c r="AB35" i="172"/>
  <c r="AH75" i="168"/>
  <c r="AI74" i="168"/>
  <c r="AD34" i="174"/>
  <c r="AC35" i="174"/>
  <c r="AN124" i="174"/>
  <c r="AM125" i="174"/>
  <c r="AH74" i="172"/>
  <c r="AG75" i="172"/>
  <c r="AB40" i="166"/>
  <c r="AF80" i="168"/>
  <c r="AF80" i="172"/>
  <c r="AE45" i="168"/>
  <c r="AF44" i="168"/>
  <c r="AE55" i="172"/>
  <c r="AF54" i="172"/>
  <c r="AC50" i="170"/>
  <c r="Z133" i="172"/>
  <c r="Z137" i="172"/>
  <c r="K68" i="123" s="1"/>
  <c r="AB46" i="168"/>
  <c r="Z134" i="170"/>
  <c r="AA32" i="170"/>
  <c r="AI95" i="172"/>
  <c r="AJ94" i="172"/>
  <c r="AD34" i="168"/>
  <c r="AC35" i="168"/>
  <c r="AK105" i="168"/>
  <c r="AL104" i="168"/>
  <c r="Z134" i="172"/>
  <c r="AA32" i="172"/>
  <c r="AJ105" i="166"/>
  <c r="AK104" i="166"/>
  <c r="AJ95" i="174"/>
  <c r="AK94" i="174"/>
  <c r="AK115" i="170"/>
  <c r="AL114" i="170"/>
  <c r="Z137" i="170"/>
  <c r="K17" i="123" s="1"/>
  <c r="Z133" i="170"/>
  <c r="AH106" i="174"/>
  <c r="AD45" i="166"/>
  <c r="AE44" i="166"/>
  <c r="AM124" i="170"/>
  <c r="AL125" i="170"/>
  <c r="AE44" i="170"/>
  <c r="AD45" i="170"/>
  <c r="AM114" i="168"/>
  <c r="AL115" i="168"/>
  <c r="AE70" i="166"/>
  <c r="AJ122" i="172"/>
  <c r="Z139" i="168"/>
  <c r="K53" i="123" s="1"/>
  <c r="AA30" i="168"/>
  <c r="AF54" i="166"/>
  <c r="AE55" i="166"/>
  <c r="AB35" i="170"/>
  <c r="AC34" i="170"/>
  <c r="AB46" i="174"/>
  <c r="AE76" i="168"/>
  <c r="AD66" i="174"/>
  <c r="AI95" i="170"/>
  <c r="AJ94" i="170"/>
  <c r="AC56" i="174"/>
  <c r="Z134" i="166"/>
  <c r="AA32" i="166"/>
  <c r="AK115" i="172"/>
  <c r="AL114" i="172"/>
  <c r="AC50" i="172"/>
  <c r="AM114" i="174"/>
  <c r="AL115" i="174"/>
  <c r="AH85" i="170"/>
  <c r="AI84" i="170"/>
  <c r="AK105" i="174"/>
  <c r="AL104" i="174"/>
  <c r="AE72" i="170"/>
  <c r="AD66" i="168"/>
  <c r="AI74" i="174"/>
  <c r="AH75" i="174"/>
  <c r="AD60" i="170"/>
  <c r="Z133" i="166"/>
  <c r="Z137" i="166"/>
  <c r="K85" i="123" s="1"/>
  <c r="AD60" i="166"/>
  <c r="AG92" i="170"/>
  <c r="AG65" i="174"/>
  <c r="AH64" i="174"/>
  <c r="AB40" i="172"/>
  <c r="AI95" i="166"/>
  <c r="AJ94" i="166"/>
  <c r="AE55" i="170"/>
  <c r="AF54" i="170"/>
  <c r="AI110" i="168"/>
  <c r="AM124" i="172"/>
  <c r="AL125" i="172"/>
  <c r="AM125" i="168"/>
  <c r="AN124" i="168"/>
  <c r="AF82" i="166"/>
  <c r="AF65" i="172"/>
  <c r="AG64" i="172"/>
  <c r="AH85" i="172"/>
  <c r="AI84" i="172"/>
  <c r="AH64" i="168"/>
  <c r="AG65" i="168"/>
  <c r="AJ105" i="172"/>
  <c r="AK104" i="172"/>
  <c r="AJ120" i="174"/>
  <c r="AJ122" i="166"/>
  <c r="AG91" i="168"/>
  <c r="AG54" i="168"/>
  <c r="AF55" i="168"/>
  <c r="AG92" i="172"/>
  <c r="AJ84" i="174"/>
  <c r="AI85" i="174"/>
  <c r="AG75" i="166"/>
  <c r="AH74" i="166"/>
  <c r="AE70" i="174"/>
  <c r="Z139" i="174"/>
  <c r="K36" i="123" s="1"/>
  <c r="AB35" i="166"/>
  <c r="AC34" i="166"/>
  <c r="AH100" i="172"/>
  <c r="AJ120" i="170"/>
  <c r="AL114" i="166"/>
  <c r="AK115" i="166"/>
  <c r="AI112" i="172"/>
  <c r="AF82" i="170"/>
  <c r="AG75" i="170"/>
  <c r="AH74" i="170"/>
  <c r="AA30" i="174"/>
  <c r="AG54" i="174"/>
  <c r="AF55" i="174"/>
  <c r="AG90" i="174"/>
  <c r="AH85" i="166"/>
  <c r="AI84" i="166"/>
  <c r="AL125" i="166"/>
  <c r="AM124" i="166"/>
  <c r="AJ120" i="168"/>
  <c r="AI112" i="166"/>
  <c r="AJ105" i="170"/>
  <c r="AK104" i="170"/>
  <c r="AB40" i="170"/>
  <c r="AH103" i="166"/>
  <c r="AC50" i="166"/>
  <c r="AG64" i="166"/>
  <c r="AF65" i="166"/>
  <c r="AC56" i="168"/>
  <c r="AI116" i="174"/>
  <c r="AI85" i="168"/>
  <c r="AJ84" i="168"/>
  <c r="AG92" i="166"/>
  <c r="AJ95" i="168"/>
  <c r="AK94" i="168"/>
  <c r="AH100" i="170"/>
  <c r="AH103" i="168"/>
  <c r="AF44" i="174"/>
  <c r="AE45" i="174"/>
  <c r="AE44" i="172"/>
  <c r="AD45" i="172"/>
  <c r="AI112" i="170"/>
  <c r="AF80" i="174"/>
  <c r="AE70" i="172"/>
  <c r="AF65" i="170"/>
  <c r="AG64" i="170"/>
  <c r="AD60" i="172"/>
  <c r="AH101" i="166" l="1"/>
  <c r="AM125" i="166"/>
  <c r="AN124" i="166"/>
  <c r="AG90" i="166"/>
  <c r="AH106" i="170"/>
  <c r="AD66" i="172"/>
  <c r="AG96" i="174"/>
  <c r="AN124" i="172"/>
  <c r="AM125" i="172"/>
  <c r="AD63" i="168"/>
  <c r="AD35" i="168"/>
  <c r="AE34" i="168"/>
  <c r="AC56" i="166"/>
  <c r="AF80" i="170"/>
  <c r="AI74" i="166"/>
  <c r="AH75" i="166"/>
  <c r="AJ126" i="174"/>
  <c r="AC53" i="174"/>
  <c r="AA36" i="168"/>
  <c r="AJ120" i="172"/>
  <c r="AL115" i="170"/>
  <c r="AM114" i="170"/>
  <c r="AA30" i="170"/>
  <c r="AC56" i="170"/>
  <c r="AI74" i="172"/>
  <c r="AH75" i="172"/>
  <c r="AG65" i="170"/>
  <c r="AH64" i="170"/>
  <c r="AH64" i="166"/>
  <c r="AG65" i="166"/>
  <c r="AJ126" i="168"/>
  <c r="AI74" i="170"/>
  <c r="AH75" i="170"/>
  <c r="AH106" i="172"/>
  <c r="AK105" i="172"/>
  <c r="AL104" i="172"/>
  <c r="AH65" i="168"/>
  <c r="AI64" i="168"/>
  <c r="AF80" i="166"/>
  <c r="AG54" i="170"/>
  <c r="AF55" i="170"/>
  <c r="AJ95" i="166"/>
  <c r="AK94" i="166"/>
  <c r="AG90" i="170"/>
  <c r="AC56" i="172"/>
  <c r="AA30" i="172"/>
  <c r="AD35" i="174"/>
  <c r="AE34" i="174"/>
  <c r="AJ84" i="166"/>
  <c r="AI85" i="166"/>
  <c r="AJ85" i="174"/>
  <c r="AK84" i="174"/>
  <c r="AH54" i="168"/>
  <c r="AG55" i="168"/>
  <c r="AO124" i="168"/>
  <c r="AN125" i="168"/>
  <c r="AI116" i="168"/>
  <c r="AM104" i="174"/>
  <c r="AL105" i="174"/>
  <c r="AL115" i="172"/>
  <c r="AM114" i="172"/>
  <c r="AC35" i="170"/>
  <c r="AD34" i="170"/>
  <c r="AN114" i="168"/>
  <c r="AM115" i="168"/>
  <c r="AH103" i="174"/>
  <c r="AJ95" i="172"/>
  <c r="AK94" i="172"/>
  <c r="AF55" i="172"/>
  <c r="AG54" i="172"/>
  <c r="AF86" i="168"/>
  <c r="AF86" i="174"/>
  <c r="AI110" i="170"/>
  <c r="AH101" i="168"/>
  <c r="AK95" i="168"/>
  <c r="AL94" i="168"/>
  <c r="AJ85" i="168"/>
  <c r="AK84" i="168"/>
  <c r="AI113" i="174"/>
  <c r="AG90" i="172"/>
  <c r="AJ120" i="166"/>
  <c r="AI85" i="172"/>
  <c r="AJ84" i="172"/>
  <c r="AB46" i="172"/>
  <c r="Z139" i="166"/>
  <c r="K87" i="123" s="1"/>
  <c r="AI85" i="170"/>
  <c r="AJ84" i="170"/>
  <c r="AA30" i="166"/>
  <c r="AJ95" i="170"/>
  <c r="AK94" i="170"/>
  <c r="AL94" i="174"/>
  <c r="AK95" i="174"/>
  <c r="AM104" i="168"/>
  <c r="AL105" i="168"/>
  <c r="Z139" i="172"/>
  <c r="K70" i="123" s="1"/>
  <c r="AF45" i="168"/>
  <c r="AG44" i="168"/>
  <c r="AB46" i="166"/>
  <c r="AO124" i="174"/>
  <c r="AN125" i="174"/>
  <c r="AJ74" i="168"/>
  <c r="AI75" i="168"/>
  <c r="AJ126" i="170"/>
  <c r="AE76" i="174"/>
  <c r="AH65" i="174"/>
  <c r="AI64" i="174"/>
  <c r="AE73" i="168"/>
  <c r="AN124" i="170"/>
  <c r="AM125" i="170"/>
  <c r="AF44" i="166"/>
  <c r="AE45" i="166"/>
  <c r="AF86" i="172"/>
  <c r="AA36" i="174"/>
  <c r="AE76" i="172"/>
  <c r="AF44" i="172"/>
  <c r="AE45" i="172"/>
  <c r="AC53" i="168"/>
  <c r="AB46" i="170"/>
  <c r="AI110" i="166"/>
  <c r="AI110" i="172"/>
  <c r="AC35" i="166"/>
  <c r="AD34" i="166"/>
  <c r="AG97" i="168"/>
  <c r="AD66" i="166"/>
  <c r="AJ74" i="174"/>
  <c r="AI75" i="174"/>
  <c r="AN114" i="174"/>
  <c r="AM115" i="174"/>
  <c r="AD63" i="174"/>
  <c r="AG54" i="166"/>
  <c r="AF55" i="166"/>
  <c r="AE76" i="166"/>
  <c r="Z139" i="170"/>
  <c r="K19" i="123" s="1"/>
  <c r="AC35" i="172"/>
  <c r="AD34" i="172"/>
  <c r="AF45" i="174"/>
  <c r="AG44" i="174"/>
  <c r="AK105" i="170"/>
  <c r="AL104" i="170"/>
  <c r="AG55" i="174"/>
  <c r="AH54" i="174"/>
  <c r="AM114" i="166"/>
  <c r="AL115" i="166"/>
  <c r="AG65" i="172"/>
  <c r="AH64" i="172"/>
  <c r="AD66" i="170"/>
  <c r="AE70" i="170"/>
  <c r="AB43" i="174"/>
  <c r="AE45" i="170"/>
  <c r="AF44" i="170"/>
  <c r="AK105" i="166"/>
  <c r="AL104" i="166"/>
  <c r="AB43" i="168"/>
  <c r="AH44" i="174" l="1"/>
  <c r="AG45" i="174"/>
  <c r="AN114" i="166"/>
  <c r="AM115" i="166"/>
  <c r="AD35" i="172"/>
  <c r="AE34" i="172"/>
  <c r="AN115" i="174"/>
  <c r="AO114" i="174"/>
  <c r="AD63" i="170"/>
  <c r="AH65" i="172"/>
  <c r="AI64" i="172"/>
  <c r="AJ75" i="174"/>
  <c r="AK74" i="174"/>
  <c r="AM94" i="168"/>
  <c r="AL95" i="168"/>
  <c r="AF83" i="174"/>
  <c r="AN104" i="174"/>
  <c r="AM105" i="174"/>
  <c r="AE35" i="174"/>
  <c r="AF34" i="174"/>
  <c r="AK95" i="166"/>
  <c r="AL94" i="166"/>
  <c r="AC53" i="170"/>
  <c r="AD61" i="168"/>
  <c r="AC53" i="172"/>
  <c r="AA33" i="168"/>
  <c r="AN104" i="168"/>
  <c r="AM105" i="168"/>
  <c r="AI111" i="174"/>
  <c r="AH101" i="174"/>
  <c r="AH55" i="168"/>
  <c r="AI54" i="168"/>
  <c r="AJ85" i="166"/>
  <c r="AK84" i="166"/>
  <c r="AL105" i="172"/>
  <c r="AM104" i="172"/>
  <c r="AA36" i="170"/>
  <c r="AK74" i="168"/>
  <c r="AJ75" i="168"/>
  <c r="AJ85" i="170"/>
  <c r="AK84" i="170"/>
  <c r="AI75" i="166"/>
  <c r="AJ74" i="166"/>
  <c r="AO124" i="170"/>
  <c r="AN125" i="170"/>
  <c r="AH54" i="166"/>
  <c r="AG55" i="166"/>
  <c r="AC51" i="168"/>
  <c r="AE73" i="172"/>
  <c r="AP124" i="174"/>
  <c r="AO125" i="174"/>
  <c r="AB43" i="172"/>
  <c r="AH107" i="168"/>
  <c r="AF83" i="168"/>
  <c r="AI113" i="168"/>
  <c r="AK85" i="174"/>
  <c r="AL84" i="174"/>
  <c r="AH54" i="170"/>
  <c r="AG55" i="170"/>
  <c r="AJ126" i="166"/>
  <c r="AH54" i="172"/>
  <c r="AG55" i="172"/>
  <c r="AN114" i="170"/>
  <c r="AM115" i="170"/>
  <c r="AD35" i="166"/>
  <c r="AE34" i="166"/>
  <c r="AI116" i="166"/>
  <c r="AE73" i="174"/>
  <c r="AB43" i="166"/>
  <c r="AK85" i="168"/>
  <c r="AL84" i="168"/>
  <c r="AD35" i="170"/>
  <c r="AE34" i="170"/>
  <c r="AG96" i="170"/>
  <c r="AH103" i="172"/>
  <c r="AJ74" i="170"/>
  <c r="AI75" i="170"/>
  <c r="AG93" i="174"/>
  <c r="AG96" i="166"/>
  <c r="AI116" i="172"/>
  <c r="AB41" i="168"/>
  <c r="AF45" i="170"/>
  <c r="AG44" i="170"/>
  <c r="AM104" i="170"/>
  <c r="AL105" i="170"/>
  <c r="AH92" i="168"/>
  <c r="AB43" i="170"/>
  <c r="AA33" i="174"/>
  <c r="AF83" i="172"/>
  <c r="AI65" i="174"/>
  <c r="AJ64" i="174"/>
  <c r="AK95" i="170"/>
  <c r="AL94" i="170"/>
  <c r="AA36" i="172"/>
  <c r="AF86" i="166"/>
  <c r="AH65" i="170"/>
  <c r="AI64" i="170"/>
  <c r="AC53" i="166"/>
  <c r="AD63" i="172"/>
  <c r="AN125" i="166"/>
  <c r="AO124" i="166"/>
  <c r="AN114" i="172"/>
  <c r="AM115" i="172"/>
  <c r="AJ123" i="168"/>
  <c r="AD61" i="174"/>
  <c r="AE76" i="170"/>
  <c r="AH55" i="174"/>
  <c r="AI54" i="174"/>
  <c r="AG44" i="166"/>
  <c r="AF45" i="166"/>
  <c r="AE71" i="168"/>
  <c r="AJ123" i="170"/>
  <c r="AH44" i="168"/>
  <c r="AG45" i="168"/>
  <c r="AL95" i="174"/>
  <c r="AM94" i="174"/>
  <c r="AG96" i="172"/>
  <c r="AK95" i="172"/>
  <c r="AL94" i="172"/>
  <c r="AP124" i="168"/>
  <c r="AO125" i="168"/>
  <c r="AC51" i="174"/>
  <c r="AJ123" i="174"/>
  <c r="AF34" i="168"/>
  <c r="AE35" i="168"/>
  <c r="AO124" i="172"/>
  <c r="AN125" i="172"/>
  <c r="AH103" i="170"/>
  <c r="AD63" i="166"/>
  <c r="AM104" i="166"/>
  <c r="AL105" i="166"/>
  <c r="AB41" i="174"/>
  <c r="AE73" i="166"/>
  <c r="AF45" i="172"/>
  <c r="AG44" i="172"/>
  <c r="AA36" i="166"/>
  <c r="AJ85" i="172"/>
  <c r="AK84" i="172"/>
  <c r="AI116" i="170"/>
  <c r="AO114" i="168"/>
  <c r="AN115" i="168"/>
  <c r="AI65" i="168"/>
  <c r="AJ64" i="168"/>
  <c r="AI64" i="166"/>
  <c r="AH65" i="166"/>
  <c r="AI75" i="172"/>
  <c r="AJ74" i="172"/>
  <c r="AJ126" i="172"/>
  <c r="AF86" i="170"/>
  <c r="AH107" i="166"/>
  <c r="AI102" i="166" l="1"/>
  <c r="AJ123" i="172"/>
  <c r="AI65" i="166"/>
  <c r="AJ64" i="166"/>
  <c r="AH101" i="170"/>
  <c r="AJ121" i="174"/>
  <c r="AG93" i="172"/>
  <c r="AF83" i="166"/>
  <c r="AI54" i="172"/>
  <c r="AH55" i="172"/>
  <c r="AK75" i="168"/>
  <c r="AL74" i="168"/>
  <c r="AJ54" i="168"/>
  <c r="AI55" i="168"/>
  <c r="AD61" i="170"/>
  <c r="AF34" i="172"/>
  <c r="AE35" i="172"/>
  <c r="AP124" i="172"/>
  <c r="AO125" i="172"/>
  <c r="AJ65" i="174"/>
  <c r="AK64" i="174"/>
  <c r="AH44" i="170"/>
  <c r="AG45" i="170"/>
  <c r="AJ75" i="170"/>
  <c r="AK74" i="170"/>
  <c r="AE71" i="174"/>
  <c r="AJ123" i="166"/>
  <c r="AL85" i="174"/>
  <c r="AM84" i="174"/>
  <c r="AF81" i="168"/>
  <c r="AP124" i="170"/>
  <c r="AO125" i="170"/>
  <c r="AJ65" i="168"/>
  <c r="AK64" i="168"/>
  <c r="AH44" i="172"/>
  <c r="AG45" i="172"/>
  <c r="AE71" i="166"/>
  <c r="AF35" i="168"/>
  <c r="AG34" i="168"/>
  <c r="AL95" i="172"/>
  <c r="AM94" i="172"/>
  <c r="AJ121" i="170"/>
  <c r="AH44" i="166"/>
  <c r="AG45" i="166"/>
  <c r="AJ64" i="170"/>
  <c r="AI65" i="170"/>
  <c r="AB41" i="170"/>
  <c r="AF34" i="166"/>
  <c r="AE35" i="166"/>
  <c r="AI102" i="168"/>
  <c r="AA33" i="170"/>
  <c r="AM105" i="172"/>
  <c r="AN104" i="172"/>
  <c r="AI117" i="174"/>
  <c r="AC51" i="172"/>
  <c r="AD67" i="168"/>
  <c r="AA33" i="166"/>
  <c r="AQ124" i="168"/>
  <c r="AP125" i="168"/>
  <c r="AB47" i="168"/>
  <c r="AF81" i="174"/>
  <c r="AP114" i="174"/>
  <c r="AO115" i="174"/>
  <c r="AH45" i="174"/>
  <c r="AI44" i="174"/>
  <c r="AI113" i="170"/>
  <c r="AM105" i="166"/>
  <c r="AN104" i="166"/>
  <c r="AC57" i="174"/>
  <c r="AM95" i="174"/>
  <c r="AN94" i="174"/>
  <c r="AE77" i="168"/>
  <c r="AJ54" i="174"/>
  <c r="AI55" i="174"/>
  <c r="AD67" i="174"/>
  <c r="AN115" i="172"/>
  <c r="AO114" i="172"/>
  <c r="AA33" i="172"/>
  <c r="AF81" i="172"/>
  <c r="AG93" i="166"/>
  <c r="AH101" i="172"/>
  <c r="AO114" i="170"/>
  <c r="AN115" i="170"/>
  <c r="AP125" i="174"/>
  <c r="AQ124" i="174"/>
  <c r="AK85" i="170"/>
  <c r="AL84" i="170"/>
  <c r="AA31" i="168"/>
  <c r="AA132" i="168"/>
  <c r="AI65" i="172"/>
  <c r="AJ64" i="172"/>
  <c r="AK74" i="172"/>
  <c r="AJ75" i="172"/>
  <c r="AL95" i="170"/>
  <c r="AM94" i="170"/>
  <c r="AG93" i="170"/>
  <c r="AI111" i="168"/>
  <c r="AH55" i="166"/>
  <c r="AI54" i="166"/>
  <c r="AM95" i="168"/>
  <c r="AN94" i="168"/>
  <c r="AL74" i="174"/>
  <c r="AK75" i="174"/>
  <c r="AF83" i="170"/>
  <c r="AO115" i="168"/>
  <c r="AP114" i="168"/>
  <c r="AK85" i="172"/>
  <c r="AL84" i="172"/>
  <c r="AE73" i="170"/>
  <c r="AD61" i="172"/>
  <c r="AC51" i="166"/>
  <c r="AH90" i="168"/>
  <c r="AI113" i="172"/>
  <c r="AG91" i="174"/>
  <c r="AB41" i="166"/>
  <c r="AI113" i="166"/>
  <c r="AB41" i="172"/>
  <c r="AE71" i="172"/>
  <c r="AJ75" i="166"/>
  <c r="AK74" i="166"/>
  <c r="AK85" i="166"/>
  <c r="AL84" i="166"/>
  <c r="AH107" i="174"/>
  <c r="AC51" i="170"/>
  <c r="AL95" i="166"/>
  <c r="AM94" i="166"/>
  <c r="AN105" i="174"/>
  <c r="AO104" i="174"/>
  <c r="AB47" i="174"/>
  <c r="AD61" i="166"/>
  <c r="AI44" i="168"/>
  <c r="AH45" i="168"/>
  <c r="AJ121" i="168"/>
  <c r="AP124" i="166"/>
  <c r="AO125" i="166"/>
  <c r="AA31" i="174"/>
  <c r="AA132" i="174"/>
  <c r="AN104" i="170"/>
  <c r="AM105" i="170"/>
  <c r="AE35" i="170"/>
  <c r="AF34" i="170"/>
  <c r="AL85" i="168"/>
  <c r="AM84" i="168"/>
  <c r="AH55" i="170"/>
  <c r="AI54" i="170"/>
  <c r="AC57" i="168"/>
  <c r="AN105" i="168"/>
  <c r="AO104" i="168"/>
  <c r="AF35" i="174"/>
  <c r="AG34" i="174"/>
  <c r="AO114" i="166"/>
  <c r="AN115" i="166"/>
  <c r="AD67" i="172" l="1"/>
  <c r="AM74" i="174"/>
  <c r="AL75" i="174"/>
  <c r="AG91" i="170"/>
  <c r="AL74" i="172"/>
  <c r="AK75" i="172"/>
  <c r="AK64" i="172"/>
  <c r="AJ65" i="172"/>
  <c r="AA138" i="168"/>
  <c r="AL85" i="170"/>
  <c r="AM84" i="170"/>
  <c r="AE62" i="174"/>
  <c r="AA31" i="166"/>
  <c r="AA132" i="166"/>
  <c r="AG34" i="166"/>
  <c r="AF35" i="166"/>
  <c r="AJ65" i="170"/>
  <c r="AK64" i="170"/>
  <c r="AI44" i="166"/>
  <c r="AH45" i="166"/>
  <c r="AG35" i="168"/>
  <c r="AH34" i="168"/>
  <c r="AL74" i="170"/>
  <c r="AK75" i="170"/>
  <c r="AF35" i="172"/>
  <c r="AG34" i="172"/>
  <c r="AJ54" i="172"/>
  <c r="AI55" i="172"/>
  <c r="AH107" i="170"/>
  <c r="AJ65" i="166"/>
  <c r="AK64" i="166"/>
  <c r="AM84" i="166"/>
  <c r="AL85" i="166"/>
  <c r="AN105" i="170"/>
  <c r="AO104" i="170"/>
  <c r="AC57" i="170"/>
  <c r="AE77" i="172"/>
  <c r="AH96" i="168"/>
  <c r="AO94" i="168"/>
  <c r="AN95" i="168"/>
  <c r="AA131" i="168"/>
  <c r="AA37" i="168"/>
  <c r="AO115" i="170"/>
  <c r="AP114" i="170"/>
  <c r="AI111" i="170"/>
  <c r="AC42" i="168"/>
  <c r="AR124" i="168"/>
  <c r="AQ125" i="168"/>
  <c r="AE62" i="168"/>
  <c r="AJ127" i="170"/>
  <c r="AH45" i="172"/>
  <c r="AI44" i="172"/>
  <c r="AF87" i="168"/>
  <c r="AJ121" i="166"/>
  <c r="AH45" i="170"/>
  <c r="AI44" i="170"/>
  <c r="AD67" i="170"/>
  <c r="AI55" i="170"/>
  <c r="AJ54" i="170"/>
  <c r="AM85" i="168"/>
  <c r="AN84" i="168"/>
  <c r="AP125" i="166"/>
  <c r="AQ124" i="166"/>
  <c r="AI111" i="166"/>
  <c r="AL85" i="172"/>
  <c r="AM84" i="172"/>
  <c r="AJ54" i="166"/>
  <c r="AI55" i="166"/>
  <c r="AQ114" i="174"/>
  <c r="AP115" i="174"/>
  <c r="AE77" i="174"/>
  <c r="AH34" i="174"/>
  <c r="AG35" i="174"/>
  <c r="AJ127" i="168"/>
  <c r="AD67" i="166"/>
  <c r="AB47" i="166"/>
  <c r="AM95" i="170"/>
  <c r="AN94" i="170"/>
  <c r="AA132" i="172"/>
  <c r="AA31" i="172"/>
  <c r="AK54" i="174"/>
  <c r="AJ55" i="174"/>
  <c r="AC57" i="172"/>
  <c r="AA31" i="170"/>
  <c r="AA132" i="170"/>
  <c r="AB47" i="170"/>
  <c r="AM95" i="172"/>
  <c r="AN94" i="172"/>
  <c r="AL64" i="168"/>
  <c r="AK65" i="168"/>
  <c r="AM85" i="174"/>
  <c r="AN84" i="174"/>
  <c r="AL75" i="168"/>
  <c r="AM74" i="168"/>
  <c r="AF81" i="166"/>
  <c r="AA138" i="174"/>
  <c r="AK75" i="166"/>
  <c r="AL74" i="166"/>
  <c r="AP115" i="168"/>
  <c r="AQ114" i="168"/>
  <c r="AF81" i="170"/>
  <c r="AI117" i="168"/>
  <c r="AG91" i="166"/>
  <c r="AF87" i="174"/>
  <c r="AQ124" i="170"/>
  <c r="AP125" i="170"/>
  <c r="AG91" i="172"/>
  <c r="AJ121" i="172"/>
  <c r="AA131" i="174"/>
  <c r="AA37" i="174"/>
  <c r="AC42" i="174"/>
  <c r="AO105" i="174"/>
  <c r="AP104" i="174"/>
  <c r="AI111" i="172"/>
  <c r="AF72" i="168"/>
  <c r="AO104" i="166"/>
  <c r="AN105" i="166"/>
  <c r="AJ112" i="174"/>
  <c r="AE77" i="166"/>
  <c r="AK65" i="174"/>
  <c r="AL64" i="174"/>
  <c r="AJ127" i="174"/>
  <c r="AP114" i="166"/>
  <c r="AO115" i="166"/>
  <c r="AO105" i="168"/>
  <c r="AP104" i="168"/>
  <c r="AD52" i="168"/>
  <c r="AF35" i="170"/>
  <c r="AG34" i="170"/>
  <c r="AJ44" i="168"/>
  <c r="AI45" i="168"/>
  <c r="AI102" i="174"/>
  <c r="AB47" i="172"/>
  <c r="AC57" i="166"/>
  <c r="AE71" i="170"/>
  <c r="AQ125" i="174"/>
  <c r="AR124" i="174"/>
  <c r="AH107" i="172"/>
  <c r="AO115" i="172"/>
  <c r="AP114" i="172"/>
  <c r="AD52" i="174"/>
  <c r="AQ124" i="172"/>
  <c r="AP125" i="172"/>
  <c r="AM95" i="166"/>
  <c r="AN94" i="166"/>
  <c r="AG97" i="174"/>
  <c r="AF87" i="172"/>
  <c r="AN95" i="174"/>
  <c r="AO94" i="174"/>
  <c r="AI45" i="174"/>
  <c r="AJ44" i="174"/>
  <c r="AO104" i="172"/>
  <c r="AN105" i="172"/>
  <c r="AI100" i="168"/>
  <c r="AJ55" i="168"/>
  <c r="AK54" i="168"/>
  <c r="AI100" i="166"/>
  <c r="AN95" i="166" l="1"/>
  <c r="AO94" i="166"/>
  <c r="AD52" i="166"/>
  <c r="AI100" i="174"/>
  <c r="AQ114" i="166"/>
  <c r="AP115" i="166"/>
  <c r="AA134" i="174"/>
  <c r="AB32" i="174"/>
  <c r="AG35" i="172"/>
  <c r="AH34" i="172"/>
  <c r="AP104" i="172"/>
  <c r="AO105" i="172"/>
  <c r="AG82" i="172"/>
  <c r="AI102" i="172"/>
  <c r="AD50" i="168"/>
  <c r="AJ110" i="174"/>
  <c r="AA133" i="174"/>
  <c r="AA137" i="174"/>
  <c r="AF87" i="170"/>
  <c r="AE62" i="166"/>
  <c r="AN84" i="172"/>
  <c r="AM85" i="172"/>
  <c r="AP115" i="170"/>
  <c r="AQ114" i="170"/>
  <c r="AF72" i="172"/>
  <c r="AI102" i="170"/>
  <c r="AH35" i="168"/>
  <c r="AI34" i="168"/>
  <c r="AG35" i="166"/>
  <c r="AH34" i="166"/>
  <c r="AJ45" i="168"/>
  <c r="AK44" i="168"/>
  <c r="AP105" i="168"/>
  <c r="AQ104" i="168"/>
  <c r="AO105" i="166"/>
  <c r="AP104" i="166"/>
  <c r="AG97" i="166"/>
  <c r="AM64" i="168"/>
  <c r="AL65" i="168"/>
  <c r="AA138" i="170"/>
  <c r="AQ125" i="166"/>
  <c r="AR124" i="166"/>
  <c r="AI45" i="170"/>
  <c r="AJ44" i="170"/>
  <c r="AI45" i="172"/>
  <c r="AJ44" i="172"/>
  <c r="AE60" i="168"/>
  <c r="AG97" i="170"/>
  <c r="AN74" i="174"/>
  <c r="AM75" i="174"/>
  <c r="AA131" i="170"/>
  <c r="AA37" i="170"/>
  <c r="AK122" i="168"/>
  <c r="AL75" i="170"/>
  <c r="AM74" i="170"/>
  <c r="AA138" i="166"/>
  <c r="AE60" i="174"/>
  <c r="AK65" i="172"/>
  <c r="AL64" i="172"/>
  <c r="AG35" i="170"/>
  <c r="AH34" i="170"/>
  <c r="AI117" i="172"/>
  <c r="AJ127" i="172"/>
  <c r="AN95" i="172"/>
  <c r="AO94" i="172"/>
  <c r="AL54" i="174"/>
  <c r="AK55" i="174"/>
  <c r="AN85" i="168"/>
  <c r="AO84" i="168"/>
  <c r="AJ127" i="166"/>
  <c r="AR125" i="168"/>
  <c r="AS124" i="168"/>
  <c r="AI117" i="170"/>
  <c r="AH93" i="168"/>
  <c r="AD52" i="170"/>
  <c r="AJ44" i="166"/>
  <c r="AI45" i="166"/>
  <c r="AA131" i="166"/>
  <c r="AA37" i="166"/>
  <c r="AP105" i="174"/>
  <c r="AQ104" i="174"/>
  <c r="AQ115" i="168"/>
  <c r="AR114" i="168"/>
  <c r="AI106" i="166"/>
  <c r="AJ45" i="174"/>
  <c r="AK44" i="174"/>
  <c r="AH92" i="174"/>
  <c r="AR125" i="174"/>
  <c r="AS124" i="174"/>
  <c r="AC42" i="172"/>
  <c r="AK122" i="174"/>
  <c r="AL65" i="174"/>
  <c r="AM64" i="174"/>
  <c r="AN85" i="174"/>
  <c r="AO84" i="174"/>
  <c r="AD52" i="172"/>
  <c r="AA131" i="172"/>
  <c r="AA37" i="172"/>
  <c r="AO94" i="170"/>
  <c r="AN95" i="170"/>
  <c r="AK122" i="170"/>
  <c r="AK65" i="170"/>
  <c r="AL64" i="170"/>
  <c r="AL75" i="172"/>
  <c r="AM74" i="172"/>
  <c r="AE62" i="172"/>
  <c r="AI106" i="168"/>
  <c r="AQ125" i="172"/>
  <c r="AR124" i="172"/>
  <c r="AD50" i="174"/>
  <c r="AE77" i="170"/>
  <c r="AF72" i="166"/>
  <c r="AF70" i="168"/>
  <c r="AG97" i="172"/>
  <c r="AR124" i="170"/>
  <c r="AQ125" i="170"/>
  <c r="AM75" i="168"/>
  <c r="AN74" i="168"/>
  <c r="AC42" i="170"/>
  <c r="AI34" i="174"/>
  <c r="AH35" i="174"/>
  <c r="AF72" i="174"/>
  <c r="AR114" i="174"/>
  <c r="AQ115" i="174"/>
  <c r="AJ55" i="166"/>
  <c r="AK54" i="166"/>
  <c r="AI117" i="166"/>
  <c r="AJ55" i="170"/>
  <c r="AK54" i="170"/>
  <c r="AE62" i="170"/>
  <c r="AG82" i="168"/>
  <c r="AC40" i="168"/>
  <c r="AB32" i="168"/>
  <c r="AA134" i="168"/>
  <c r="AM85" i="166"/>
  <c r="AN84" i="166"/>
  <c r="AK54" i="172"/>
  <c r="AJ55" i="172"/>
  <c r="AM85" i="170"/>
  <c r="AN84" i="170"/>
  <c r="AL54" i="168"/>
  <c r="AK55" i="168"/>
  <c r="AO95" i="174"/>
  <c r="AP94" i="174"/>
  <c r="AQ114" i="172"/>
  <c r="AP115" i="172"/>
  <c r="AC40" i="174"/>
  <c r="AG82" i="174"/>
  <c r="AJ112" i="168"/>
  <c r="AM74" i="166"/>
  <c r="AL75" i="166"/>
  <c r="AF87" i="166"/>
  <c r="AA138" i="172"/>
  <c r="AC42" i="166"/>
  <c r="AA133" i="168"/>
  <c r="AA137" i="168"/>
  <c r="AO95" i="168"/>
  <c r="AP94" i="168"/>
  <c r="AO105" i="170"/>
  <c r="AP104" i="170"/>
  <c r="AL64" i="166"/>
  <c r="AK65" i="166"/>
  <c r="AM54" i="168" l="1"/>
  <c r="AL55" i="168"/>
  <c r="AI35" i="174"/>
  <c r="AJ34" i="174"/>
  <c r="AI103" i="168"/>
  <c r="AK120" i="170"/>
  <c r="AM65" i="174"/>
  <c r="AN64" i="174"/>
  <c r="AL44" i="174"/>
  <c r="AK45" i="174"/>
  <c r="AJ45" i="166"/>
  <c r="AK44" i="166"/>
  <c r="AO85" i="168"/>
  <c r="AP84" i="168"/>
  <c r="AK122" i="172"/>
  <c r="AH92" i="170"/>
  <c r="AM65" i="168"/>
  <c r="AN64" i="168"/>
  <c r="AH35" i="166"/>
  <c r="AI34" i="166"/>
  <c r="AI100" i="170"/>
  <c r="AI106" i="174"/>
  <c r="AJ110" i="168"/>
  <c r="AE60" i="170"/>
  <c r="AS114" i="174"/>
  <c r="AR115" i="174"/>
  <c r="AF70" i="166"/>
  <c r="AN74" i="172"/>
  <c r="AM75" i="172"/>
  <c r="AO95" i="170"/>
  <c r="AP94" i="170"/>
  <c r="AO85" i="174"/>
  <c r="AP84" i="174"/>
  <c r="AC40" i="172"/>
  <c r="AM54" i="174"/>
  <c r="AL55" i="174"/>
  <c r="AI34" i="172"/>
  <c r="AH35" i="172"/>
  <c r="AC40" i="166"/>
  <c r="AK55" i="170"/>
  <c r="AL54" i="170"/>
  <c r="AC40" i="170"/>
  <c r="AH92" i="172"/>
  <c r="AD56" i="174"/>
  <c r="AA134" i="172"/>
  <c r="AB32" i="172"/>
  <c r="AS125" i="174"/>
  <c r="AT124" i="174"/>
  <c r="AD50" i="170"/>
  <c r="AJ112" i="170"/>
  <c r="AJ112" i="172"/>
  <c r="AN74" i="170"/>
  <c r="AM75" i="170"/>
  <c r="AE66" i="168"/>
  <c r="AS124" i="166"/>
  <c r="AR125" i="166"/>
  <c r="AR104" i="168"/>
  <c r="AQ105" i="168"/>
  <c r="AA139" i="168"/>
  <c r="AP95" i="174"/>
  <c r="AQ94" i="174"/>
  <c r="AB30" i="168"/>
  <c r="AO74" i="168"/>
  <c r="AN75" i="168"/>
  <c r="AL65" i="170"/>
  <c r="AM64" i="170"/>
  <c r="AA133" i="172"/>
  <c r="AA137" i="172"/>
  <c r="AK120" i="174"/>
  <c r="AR115" i="168"/>
  <c r="AS114" i="168"/>
  <c r="AA134" i="170"/>
  <c r="AB32" i="170"/>
  <c r="AJ45" i="172"/>
  <c r="AK44" i="172"/>
  <c r="AJ34" i="168"/>
  <c r="AI35" i="168"/>
  <c r="AA139" i="174"/>
  <c r="AD56" i="168"/>
  <c r="AD50" i="166"/>
  <c r="AL65" i="166"/>
  <c r="AM64" i="166"/>
  <c r="AG82" i="166"/>
  <c r="AQ115" i="172"/>
  <c r="AR114" i="172"/>
  <c r="AJ112" i="166"/>
  <c r="AF72" i="170"/>
  <c r="AA134" i="166"/>
  <c r="AB32" i="166"/>
  <c r="AS125" i="168"/>
  <c r="AT124" i="168"/>
  <c r="AL65" i="172"/>
  <c r="AM64" i="172"/>
  <c r="AA133" i="170"/>
  <c r="AA137" i="170"/>
  <c r="AK45" i="168"/>
  <c r="AL44" i="168"/>
  <c r="AF70" i="172"/>
  <c r="AG80" i="172"/>
  <c r="AP94" i="166"/>
  <c r="AO95" i="166"/>
  <c r="AP105" i="170"/>
  <c r="AQ104" i="170"/>
  <c r="AG80" i="174"/>
  <c r="AL54" i="172"/>
  <c r="AK55" i="172"/>
  <c r="AC46" i="168"/>
  <c r="AF70" i="174"/>
  <c r="AH90" i="174"/>
  <c r="AR104" i="174"/>
  <c r="AQ105" i="174"/>
  <c r="AA133" i="166"/>
  <c r="AA137" i="166"/>
  <c r="AH91" i="168"/>
  <c r="AP94" i="172"/>
  <c r="AO95" i="172"/>
  <c r="AI34" i="170"/>
  <c r="AH35" i="170"/>
  <c r="AJ45" i="170"/>
  <c r="AK44" i="170"/>
  <c r="AH92" i="166"/>
  <c r="AO84" i="172"/>
  <c r="AN85" i="172"/>
  <c r="AO84" i="170"/>
  <c r="AN85" i="170"/>
  <c r="AO84" i="166"/>
  <c r="AN85" i="166"/>
  <c r="AL54" i="166"/>
  <c r="AK55" i="166"/>
  <c r="AR125" i="172"/>
  <c r="AS124" i="172"/>
  <c r="AE60" i="172"/>
  <c r="AK122" i="166"/>
  <c r="AK120" i="168"/>
  <c r="AP105" i="166"/>
  <c r="AQ104" i="166"/>
  <c r="AG82" i="170"/>
  <c r="AP105" i="172"/>
  <c r="AQ104" i="172"/>
  <c r="AQ115" i="166"/>
  <c r="AR114" i="166"/>
  <c r="AP95" i="168"/>
  <c r="AQ94" i="168"/>
  <c r="AN74" i="166"/>
  <c r="AM75" i="166"/>
  <c r="AC46" i="174"/>
  <c r="AG80" i="168"/>
  <c r="AR125" i="170"/>
  <c r="AS124" i="170"/>
  <c r="AF76" i="168"/>
  <c r="AD50" i="172"/>
  <c r="AI103" i="166"/>
  <c r="AE66" i="174"/>
  <c r="AN75" i="174"/>
  <c r="AO74" i="174"/>
  <c r="AR114" i="170"/>
  <c r="AQ115" i="170"/>
  <c r="AE60" i="166"/>
  <c r="AJ116" i="174"/>
  <c r="AI100" i="172"/>
  <c r="AB30" i="174"/>
  <c r="P40" i="183" l="1"/>
  <c r="P38" i="183"/>
  <c r="AE66" i="172"/>
  <c r="AO85" i="170"/>
  <c r="AP84" i="170"/>
  <c r="AK45" i="170"/>
  <c r="AL44" i="170"/>
  <c r="AB30" i="170"/>
  <c r="AS115" i="168"/>
  <c r="AT114" i="168"/>
  <c r="AA139" i="172"/>
  <c r="AB36" i="168"/>
  <c r="AP85" i="174"/>
  <c r="AQ84" i="174"/>
  <c r="AK120" i="172"/>
  <c r="AL44" i="166"/>
  <c r="AK45" i="166"/>
  <c r="AB36" i="174"/>
  <c r="AG80" i="166"/>
  <c r="AM65" i="170"/>
  <c r="AN64" i="170"/>
  <c r="AI106" i="170"/>
  <c r="AK126" i="170"/>
  <c r="AT124" i="172"/>
  <c r="AS125" i="172"/>
  <c r="AI106" i="172"/>
  <c r="AG86" i="168"/>
  <c r="AR94" i="168"/>
  <c r="AQ95" i="168"/>
  <c r="AG80" i="170"/>
  <c r="AA139" i="166"/>
  <c r="AH96" i="174"/>
  <c r="AF76" i="174"/>
  <c r="AA139" i="170"/>
  <c r="AU124" i="168"/>
  <c r="AT125" i="168"/>
  <c r="AS125" i="166"/>
  <c r="AT124" i="166"/>
  <c r="AT125" i="174"/>
  <c r="AU124" i="174"/>
  <c r="AD53" i="174"/>
  <c r="AP95" i="170"/>
  <c r="AQ94" i="170"/>
  <c r="AI35" i="170"/>
  <c r="AJ34" i="170"/>
  <c r="AC43" i="168"/>
  <c r="AQ105" i="170"/>
  <c r="AR104" i="170"/>
  <c r="AF76" i="172"/>
  <c r="AM65" i="166"/>
  <c r="AN64" i="166"/>
  <c r="AK126" i="174"/>
  <c r="AE63" i="168"/>
  <c r="AJ110" i="172"/>
  <c r="AC46" i="170"/>
  <c r="AM55" i="174"/>
  <c r="AN54" i="174"/>
  <c r="AS115" i="174"/>
  <c r="AT114" i="174"/>
  <c r="AJ116" i="168"/>
  <c r="AJ34" i="166"/>
  <c r="AI35" i="166"/>
  <c r="AE66" i="166"/>
  <c r="AD56" i="172"/>
  <c r="AJ113" i="174"/>
  <c r="AR115" i="170"/>
  <c r="AS114" i="170"/>
  <c r="AC43" i="174"/>
  <c r="AF73" i="168"/>
  <c r="AL55" i="166"/>
  <c r="AM54" i="166"/>
  <c r="AG86" i="174"/>
  <c r="AJ110" i="166"/>
  <c r="AK45" i="172"/>
  <c r="AL44" i="172"/>
  <c r="AL55" i="170"/>
  <c r="AM54" i="170"/>
  <c r="AI103" i="174"/>
  <c r="AP85" i="168"/>
  <c r="AQ84" i="168"/>
  <c r="AK34" i="174"/>
  <c r="AJ35" i="174"/>
  <c r="AR104" i="166"/>
  <c r="AQ105" i="166"/>
  <c r="AK126" i="168"/>
  <c r="AQ94" i="172"/>
  <c r="AP95" i="172"/>
  <c r="AG86" i="172"/>
  <c r="AM44" i="168"/>
  <c r="AL45" i="168"/>
  <c r="AN64" i="172"/>
  <c r="AM65" i="172"/>
  <c r="AS114" i="172"/>
  <c r="AR115" i="172"/>
  <c r="AN75" i="170"/>
  <c r="AO74" i="170"/>
  <c r="AJ110" i="170"/>
  <c r="AC46" i="166"/>
  <c r="AI35" i="172"/>
  <c r="AJ34" i="172"/>
  <c r="AN75" i="172"/>
  <c r="AO74" i="172"/>
  <c r="AE66" i="170"/>
  <c r="AM44" i="174"/>
  <c r="AL45" i="174"/>
  <c r="AE63" i="174"/>
  <c r="AP74" i="174"/>
  <c r="AO75" i="174"/>
  <c r="AT124" i="170"/>
  <c r="AS125" i="170"/>
  <c r="AO74" i="166"/>
  <c r="AN75" i="166"/>
  <c r="AS114" i="166"/>
  <c r="AR115" i="166"/>
  <c r="AQ105" i="172"/>
  <c r="AR104" i="172"/>
  <c r="AK120" i="166"/>
  <c r="AP84" i="166"/>
  <c r="AO85" i="166"/>
  <c r="AR105" i="174"/>
  <c r="AS104" i="174"/>
  <c r="AL55" i="172"/>
  <c r="AM54" i="172"/>
  <c r="AP95" i="166"/>
  <c r="AQ94" i="166"/>
  <c r="AB30" i="166"/>
  <c r="AD56" i="166"/>
  <c r="AD53" i="168"/>
  <c r="AP74" i="168"/>
  <c r="AO75" i="168"/>
  <c r="AQ95" i="174"/>
  <c r="AR94" i="174"/>
  <c r="AR105" i="168"/>
  <c r="AS104" i="168"/>
  <c r="AB30" i="172"/>
  <c r="AO64" i="174"/>
  <c r="AN65" i="174"/>
  <c r="AI101" i="168"/>
  <c r="AI101" i="166"/>
  <c r="AO85" i="172"/>
  <c r="AP84" i="172"/>
  <c r="AH90" i="166"/>
  <c r="AH97" i="168"/>
  <c r="AF70" i="170"/>
  <c r="AK34" i="168"/>
  <c r="AJ35" i="168"/>
  <c r="AD56" i="170"/>
  <c r="AH90" i="172"/>
  <c r="AC46" i="172"/>
  <c r="AF76" i="166"/>
  <c r="AN65" i="168"/>
  <c r="AO64" i="168"/>
  <c r="AH90" i="170"/>
  <c r="AN54" i="168"/>
  <c r="AM55" i="168"/>
  <c r="P37" i="183" l="1"/>
  <c r="P18" i="176"/>
  <c r="P36" i="183"/>
  <c r="P35" i="183"/>
  <c r="AF73" i="166"/>
  <c r="AF76" i="170"/>
  <c r="AQ84" i="172"/>
  <c r="AP85" i="172"/>
  <c r="AM45" i="174"/>
  <c r="AN44" i="174"/>
  <c r="AM55" i="166"/>
  <c r="AN54" i="166"/>
  <c r="AC41" i="174"/>
  <c r="AD53" i="172"/>
  <c r="AK34" i="170"/>
  <c r="AJ35" i="170"/>
  <c r="AG86" i="170"/>
  <c r="AB33" i="168"/>
  <c r="AB36" i="170"/>
  <c r="AE63" i="172"/>
  <c r="AI92" i="168"/>
  <c r="AS105" i="174"/>
  <c r="AT104" i="174"/>
  <c r="AO64" i="172"/>
  <c r="AN65" i="172"/>
  <c r="AS115" i="170"/>
  <c r="AT114" i="170"/>
  <c r="AN55" i="174"/>
  <c r="AO54" i="174"/>
  <c r="AF73" i="172"/>
  <c r="AC41" i="168"/>
  <c r="AK123" i="170"/>
  <c r="AK126" i="172"/>
  <c r="AT104" i="168"/>
  <c r="AS105" i="168"/>
  <c r="AS115" i="166"/>
  <c r="AT114" i="166"/>
  <c r="AQ74" i="174"/>
  <c r="AP75" i="174"/>
  <c r="AR105" i="166"/>
  <c r="AS104" i="166"/>
  <c r="AE63" i="166"/>
  <c r="AJ116" i="172"/>
  <c r="AK123" i="174"/>
  <c r="AT125" i="166"/>
  <c r="AU124" i="166"/>
  <c r="AR95" i="168"/>
  <c r="AS94" i="168"/>
  <c r="AH96" i="170"/>
  <c r="AD51" i="168"/>
  <c r="AQ95" i="166"/>
  <c r="AR94" i="166"/>
  <c r="AE63" i="170"/>
  <c r="AJ116" i="170"/>
  <c r="AN44" i="168"/>
  <c r="AM45" i="168"/>
  <c r="AG83" i="174"/>
  <c r="AN65" i="166"/>
  <c r="AO64" i="166"/>
  <c r="AF73" i="174"/>
  <c r="AG83" i="168"/>
  <c r="AI103" i="172"/>
  <c r="AG86" i="166"/>
  <c r="AC43" i="172"/>
  <c r="AO65" i="168"/>
  <c r="AP64" i="168"/>
  <c r="AH96" i="172"/>
  <c r="AI107" i="168"/>
  <c r="AJ102" i="168" s="1"/>
  <c r="AR95" i="174"/>
  <c r="AS94" i="174"/>
  <c r="AD53" i="166"/>
  <c r="AQ84" i="166"/>
  <c r="AP85" i="166"/>
  <c r="AP74" i="166"/>
  <c r="AO75" i="166"/>
  <c r="AK34" i="172"/>
  <c r="AJ35" i="172"/>
  <c r="AO75" i="170"/>
  <c r="AP74" i="170"/>
  <c r="AG83" i="172"/>
  <c r="AK34" i="166"/>
  <c r="AJ35" i="166"/>
  <c r="AD51" i="174"/>
  <c r="AQ85" i="174"/>
  <c r="AR84" i="174"/>
  <c r="AL45" i="170"/>
  <c r="AM44" i="170"/>
  <c r="AD53" i="170"/>
  <c r="AM55" i="172"/>
  <c r="AN54" i="172"/>
  <c r="AO75" i="172"/>
  <c r="AP74" i="172"/>
  <c r="AS115" i="172"/>
  <c r="AT114" i="172"/>
  <c r="AK35" i="174"/>
  <c r="AL34" i="174"/>
  <c r="AI101" i="174"/>
  <c r="AF71" i="168"/>
  <c r="AJ111" i="174"/>
  <c r="AJ113" i="168"/>
  <c r="AE61" i="168"/>
  <c r="AR105" i="170"/>
  <c r="AS104" i="170"/>
  <c r="AV124" i="174"/>
  <c r="AU125" i="174"/>
  <c r="AH93" i="174"/>
  <c r="AI103" i="170"/>
  <c r="AN65" i="170"/>
  <c r="AO64" i="170"/>
  <c r="AT115" i="168"/>
  <c r="AU114" i="168"/>
  <c r="AL34" i="168"/>
  <c r="AK35" i="168"/>
  <c r="AO65" i="174"/>
  <c r="AP64" i="174"/>
  <c r="AB36" i="172"/>
  <c r="AK126" i="166"/>
  <c r="AU124" i="170"/>
  <c r="AT125" i="170"/>
  <c r="AC43" i="166"/>
  <c r="AR84" i="168"/>
  <c r="AQ85" i="168"/>
  <c r="AM44" i="172"/>
  <c r="AL45" i="172"/>
  <c r="AJ116" i="166"/>
  <c r="AR94" i="170"/>
  <c r="AQ95" i="170"/>
  <c r="AU125" i="168"/>
  <c r="AV124" i="168"/>
  <c r="AU124" i="172"/>
  <c r="AT125" i="172"/>
  <c r="AB33" i="174"/>
  <c r="AP85" i="170"/>
  <c r="AQ84" i="170"/>
  <c r="AN55" i="168"/>
  <c r="AO54" i="168"/>
  <c r="AH96" i="166"/>
  <c r="AI107" i="166"/>
  <c r="AQ74" i="168"/>
  <c r="AP75" i="168"/>
  <c r="AB36" i="166"/>
  <c r="AS104" i="172"/>
  <c r="AR105" i="172"/>
  <c r="AE61" i="174"/>
  <c r="AQ95" i="172"/>
  <c r="AR94" i="172"/>
  <c r="AK123" i="168"/>
  <c r="AN54" i="170"/>
  <c r="AM55" i="170"/>
  <c r="AT115" i="174"/>
  <c r="AU114" i="174"/>
  <c r="AC43" i="170"/>
  <c r="AM44" i="166"/>
  <c r="AL45" i="166"/>
  <c r="P42" i="183" l="1"/>
  <c r="AJ102" i="166"/>
  <c r="AJ100" i="166" s="1"/>
  <c r="AJ106" i="166" s="1"/>
  <c r="AR84" i="170"/>
  <c r="AQ85" i="170"/>
  <c r="AN44" i="172"/>
  <c r="AM45" i="172"/>
  <c r="AU114" i="172"/>
  <c r="AT115" i="172"/>
  <c r="AS95" i="174"/>
  <c r="AT94" i="174"/>
  <c r="AG81" i="168"/>
  <c r="AV124" i="166"/>
  <c r="AU125" i="166"/>
  <c r="AI90" i="168"/>
  <c r="AD51" i="172"/>
  <c r="AF73" i="170"/>
  <c r="AE67" i="174"/>
  <c r="AP54" i="168"/>
  <c r="AO55" i="168"/>
  <c r="AB33" i="172"/>
  <c r="AI101" i="170"/>
  <c r="AH91" i="174"/>
  <c r="AD57" i="174"/>
  <c r="AG81" i="172"/>
  <c r="AK121" i="174"/>
  <c r="AK121" i="170"/>
  <c r="AC47" i="168"/>
  <c r="AT115" i="170"/>
  <c r="AU114" i="170"/>
  <c r="AC41" i="170"/>
  <c r="AN55" i="170"/>
  <c r="AO54" i="170"/>
  <c r="AH93" i="166"/>
  <c r="AB31" i="174"/>
  <c r="AB132" i="174"/>
  <c r="AR95" i="170"/>
  <c r="AS94" i="170"/>
  <c r="AS84" i="168"/>
  <c r="AR85" i="168"/>
  <c r="AL35" i="168"/>
  <c r="AM34" i="168"/>
  <c r="AJ111" i="168"/>
  <c r="AI107" i="174"/>
  <c r="AM45" i="170"/>
  <c r="AN44" i="170"/>
  <c r="AP75" i="170"/>
  <c r="AQ74" i="170"/>
  <c r="AP75" i="166"/>
  <c r="AQ74" i="166"/>
  <c r="AN45" i="168"/>
  <c r="AO44" i="168"/>
  <c r="AJ113" i="172"/>
  <c r="AS105" i="166"/>
  <c r="AT104" i="166"/>
  <c r="AB33" i="170"/>
  <c r="AC47" i="174"/>
  <c r="AV114" i="174"/>
  <c r="AU115" i="174"/>
  <c r="AT104" i="172"/>
  <c r="AS105" i="172"/>
  <c r="AQ75" i="168"/>
  <c r="AR74" i="168"/>
  <c r="AW124" i="174"/>
  <c r="AV125" i="174"/>
  <c r="AF77" i="168"/>
  <c r="AP75" i="172"/>
  <c r="AQ74" i="172"/>
  <c r="AH93" i="172"/>
  <c r="AF71" i="174"/>
  <c r="AJ113" i="170"/>
  <c r="AR95" i="166"/>
  <c r="AS94" i="166"/>
  <c r="AH93" i="170"/>
  <c r="AT94" i="168"/>
  <c r="AS95" i="168"/>
  <c r="AR74" i="174"/>
  <c r="AQ75" i="174"/>
  <c r="AC41" i="166"/>
  <c r="AP65" i="174"/>
  <c r="AQ64" i="174"/>
  <c r="AM34" i="174"/>
  <c r="AL35" i="174"/>
  <c r="AR84" i="166"/>
  <c r="AQ85" i="166"/>
  <c r="AJ100" i="168"/>
  <c r="AC41" i="172"/>
  <c r="AO65" i="166"/>
  <c r="AP64" i="166"/>
  <c r="AU114" i="166"/>
  <c r="AT115" i="166"/>
  <c r="AF71" i="172"/>
  <c r="AU104" i="174"/>
  <c r="AT105" i="174"/>
  <c r="AG83" i="170"/>
  <c r="AM45" i="166"/>
  <c r="AN44" i="166"/>
  <c r="AK121" i="168"/>
  <c r="AJ113" i="166"/>
  <c r="AV114" i="168"/>
  <c r="AU115" i="168"/>
  <c r="AP64" i="170"/>
  <c r="AO65" i="170"/>
  <c r="AE67" i="168"/>
  <c r="AN55" i="172"/>
  <c r="AO54" i="172"/>
  <c r="AQ64" i="168"/>
  <c r="AP65" i="168"/>
  <c r="AI101" i="172"/>
  <c r="AG81" i="174"/>
  <c r="AO55" i="174"/>
  <c r="AP54" i="174"/>
  <c r="AO54" i="166"/>
  <c r="AN55" i="166"/>
  <c r="AS94" i="172"/>
  <c r="AR95" i="172"/>
  <c r="AV124" i="172"/>
  <c r="AU125" i="172"/>
  <c r="AV124" i="170"/>
  <c r="AU125" i="170"/>
  <c r="AS105" i="170"/>
  <c r="AT104" i="170"/>
  <c r="AD51" i="170"/>
  <c r="AK35" i="172"/>
  <c r="AL34" i="172"/>
  <c r="AG83" i="166"/>
  <c r="AD57" i="168"/>
  <c r="AE61" i="166"/>
  <c r="AP64" i="172"/>
  <c r="AO65" i="172"/>
  <c r="AE61" i="172"/>
  <c r="AB33" i="166"/>
  <c r="AV125" i="168"/>
  <c r="AW124" i="168"/>
  <c r="AK123" i="166"/>
  <c r="AJ117" i="174"/>
  <c r="AR85" i="174"/>
  <c r="AS84" i="174"/>
  <c r="AL34" i="166"/>
  <c r="AK35" i="166"/>
  <c r="AD51" i="166"/>
  <c r="AE61" i="170"/>
  <c r="AU104" i="168"/>
  <c r="AT105" i="168"/>
  <c r="AK123" i="172"/>
  <c r="AB31" i="168"/>
  <c r="AB132" i="168"/>
  <c r="AK35" i="170"/>
  <c r="AL34" i="170"/>
  <c r="AO44" i="174"/>
  <c r="AN45" i="174"/>
  <c r="AR84" i="172"/>
  <c r="AQ85" i="172"/>
  <c r="AF71" i="166"/>
  <c r="AK112" i="174" l="1"/>
  <c r="AG81" i="166"/>
  <c r="AE67" i="170"/>
  <c r="AP65" i="172"/>
  <c r="AQ64" i="172"/>
  <c r="AD57" i="170"/>
  <c r="AP55" i="174"/>
  <c r="B55" i="174" s="1"/>
  <c r="AQ54" i="174"/>
  <c r="AJ111" i="166"/>
  <c r="AO44" i="166"/>
  <c r="AN45" i="166"/>
  <c r="AS84" i="166"/>
  <c r="AR85" i="166"/>
  <c r="AQ65" i="174"/>
  <c r="B65" i="174" s="1"/>
  <c r="AR64" i="174"/>
  <c r="AR74" i="170"/>
  <c r="AQ75" i="170"/>
  <c r="AU115" i="170"/>
  <c r="AV114" i="170"/>
  <c r="AU115" i="172"/>
  <c r="AV114" i="172"/>
  <c r="AT95" i="168"/>
  <c r="B95" i="168" s="1"/>
  <c r="AU94" i="168"/>
  <c r="AJ111" i="170"/>
  <c r="AG72" i="168"/>
  <c r="AN34" i="168"/>
  <c r="AO34" i="168" s="1"/>
  <c r="AM35" i="168"/>
  <c r="AB138" i="174"/>
  <c r="AE52" i="174"/>
  <c r="AF71" i="170"/>
  <c r="AI107" i="172"/>
  <c r="AP65" i="166"/>
  <c r="AQ64" i="166"/>
  <c r="AJ111" i="172"/>
  <c r="AK121" i="172"/>
  <c r="AP54" i="166"/>
  <c r="AO55" i="166"/>
  <c r="AV104" i="174"/>
  <c r="AU105" i="174"/>
  <c r="B105" i="174" s="1"/>
  <c r="AD42" i="174"/>
  <c r="AB31" i="170"/>
  <c r="AB132" i="170"/>
  <c r="AC47" i="170"/>
  <c r="AD42" i="168"/>
  <c r="AH97" i="174"/>
  <c r="AB31" i="172"/>
  <c r="AB132" i="172"/>
  <c r="AI96" i="168"/>
  <c r="AJ103" i="166"/>
  <c r="AL35" i="170"/>
  <c r="AM34" i="170"/>
  <c r="AD57" i="166"/>
  <c r="AS85" i="174"/>
  <c r="B85" i="174" s="1"/>
  <c r="AT84" i="174"/>
  <c r="AQ64" i="170"/>
  <c r="AP65" i="170"/>
  <c r="AC47" i="166"/>
  <c r="AF77" i="174"/>
  <c r="AB131" i="174"/>
  <c r="AB37" i="174"/>
  <c r="AK127" i="174"/>
  <c r="AD57" i="172"/>
  <c r="AP54" i="172"/>
  <c r="AO55" i="172"/>
  <c r="AJ102" i="174"/>
  <c r="AV104" i="168"/>
  <c r="AU105" i="168"/>
  <c r="B105" i="168" s="1"/>
  <c r="AW124" i="170"/>
  <c r="AV125" i="170"/>
  <c r="AK127" i="168"/>
  <c r="AF77" i="172"/>
  <c r="AC47" i="172"/>
  <c r="AH91" i="170"/>
  <c r="AX124" i="174"/>
  <c r="AW125" i="174"/>
  <c r="B125" i="174" s="1"/>
  <c r="AR75" i="168"/>
  <c r="B75" i="168" s="1"/>
  <c r="AS74" i="168"/>
  <c r="AJ117" i="168"/>
  <c r="AS85" i="168"/>
  <c r="B85" i="168" s="1"/>
  <c r="AT84" i="168"/>
  <c r="AG87" i="172"/>
  <c r="AI107" i="170"/>
  <c r="AQ54" i="168"/>
  <c r="AP55" i="168"/>
  <c r="B55" i="168" s="1"/>
  <c r="AG87" i="168"/>
  <c r="AN45" i="172"/>
  <c r="AO44" i="172"/>
  <c r="AK121" i="166"/>
  <c r="AT105" i="170"/>
  <c r="AU104" i="170"/>
  <c r="AV115" i="174"/>
  <c r="B115" i="174" s="1"/>
  <c r="AW114" i="174"/>
  <c r="AF77" i="166"/>
  <c r="AB138" i="168"/>
  <c r="AB31" i="166"/>
  <c r="AB132" i="166"/>
  <c r="AE52" i="168"/>
  <c r="AQ65" i="168"/>
  <c r="B65" i="168" s="1"/>
  <c r="AR64" i="168"/>
  <c r="AV115" i="168"/>
  <c r="B115" i="168" s="1"/>
  <c r="AW114" i="168"/>
  <c r="AG81" i="170"/>
  <c r="AM35" i="174"/>
  <c r="AN34" i="174"/>
  <c r="AO34" i="174" s="1"/>
  <c r="AS95" i="166"/>
  <c r="AT94" i="166"/>
  <c r="AT105" i="166"/>
  <c r="AU104" i="166"/>
  <c r="AP44" i="168"/>
  <c r="AO45" i="168"/>
  <c r="B45" i="168" s="1"/>
  <c r="AN45" i="170"/>
  <c r="AO44" i="170"/>
  <c r="AK127" i="170"/>
  <c r="AF62" i="174"/>
  <c r="AO45" i="174"/>
  <c r="B45" i="174" s="1"/>
  <c r="AP44" i="174"/>
  <c r="B44" i="174" s="1"/>
  <c r="AL35" i="166"/>
  <c r="AM34" i="166"/>
  <c r="AX124" i="168"/>
  <c r="AW125" i="168"/>
  <c r="B125" i="168" s="1"/>
  <c r="AE67" i="172"/>
  <c r="AE67" i="166"/>
  <c r="AL35" i="172"/>
  <c r="AM34" i="172"/>
  <c r="AW124" i="172"/>
  <c r="AV125" i="172"/>
  <c r="AF62" i="168"/>
  <c r="AV114" i="166"/>
  <c r="AU115" i="166"/>
  <c r="AJ106" i="168"/>
  <c r="AH91" i="172"/>
  <c r="AQ75" i="166"/>
  <c r="AR74" i="166"/>
  <c r="AH91" i="166"/>
  <c r="AW124" i="166"/>
  <c r="AV125" i="166"/>
  <c r="AR85" i="170"/>
  <c r="AS84" i="170"/>
  <c r="AS84" i="172"/>
  <c r="AR85" i="172"/>
  <c r="AB131" i="168"/>
  <c r="AB37" i="168"/>
  <c r="AS95" i="172"/>
  <c r="AT94" i="172"/>
  <c r="AG87" i="174"/>
  <c r="AS74" i="174"/>
  <c r="AR75" i="174"/>
  <c r="B75" i="174" s="1"/>
  <c r="AR74" i="172"/>
  <c r="AQ75" i="172"/>
  <c r="AT105" i="172"/>
  <c r="AU104" i="172"/>
  <c r="AS95" i="170"/>
  <c r="AT94" i="170"/>
  <c r="AO55" i="170"/>
  <c r="AP54" i="170"/>
  <c r="AT95" i="174"/>
  <c r="B95" i="174" s="1"/>
  <c r="AU94" i="174"/>
  <c r="AO35" i="168" l="1"/>
  <c r="AP34" i="168"/>
  <c r="AO35" i="174"/>
  <c r="AP34" i="174"/>
  <c r="AS74" i="172"/>
  <c r="AR75" i="172"/>
  <c r="B75" i="172" s="1"/>
  <c r="AH97" i="172"/>
  <c r="AH97" i="166"/>
  <c r="AF62" i="172"/>
  <c r="AT95" i="166"/>
  <c r="B95" i="166" s="1"/>
  <c r="AU94" i="166"/>
  <c r="B94" i="166" s="1"/>
  <c r="AV104" i="170"/>
  <c r="AU105" i="170"/>
  <c r="B105" i="170" s="1"/>
  <c r="AH82" i="168"/>
  <c r="B74" i="168"/>
  <c r="B104" i="168"/>
  <c r="AM35" i="170"/>
  <c r="AN34" i="170"/>
  <c r="AO34" i="170" s="1"/>
  <c r="AD40" i="174"/>
  <c r="AP55" i="166"/>
  <c r="B55" i="166" s="1"/>
  <c r="AQ54" i="166"/>
  <c r="B54" i="166" s="1"/>
  <c r="AG70" i="168"/>
  <c r="AJ117" i="166"/>
  <c r="AU94" i="170"/>
  <c r="AT95" i="170"/>
  <c r="B95" i="170" s="1"/>
  <c r="B114" i="168"/>
  <c r="AH82" i="172"/>
  <c r="AD42" i="172"/>
  <c r="AE52" i="172"/>
  <c r="AD42" i="166"/>
  <c r="AQ65" i="170"/>
  <c r="B65" i="170" s="1"/>
  <c r="AR64" i="170"/>
  <c r="AI93" i="168"/>
  <c r="AJ102" i="172"/>
  <c r="AL122" i="170"/>
  <c r="AG72" i="166"/>
  <c r="AJ117" i="170"/>
  <c r="B64" i="174"/>
  <c r="AE52" i="170"/>
  <c r="AF62" i="170"/>
  <c r="AH82" i="174"/>
  <c r="B124" i="168"/>
  <c r="AN35" i="174"/>
  <c r="AE50" i="168"/>
  <c r="B124" i="174"/>
  <c r="AJ100" i="174"/>
  <c r="AG72" i="174"/>
  <c r="B84" i="174"/>
  <c r="AB138" i="172"/>
  <c r="AD40" i="168"/>
  <c r="AB138" i="170"/>
  <c r="AF77" i="170"/>
  <c r="B94" i="168"/>
  <c r="B54" i="174"/>
  <c r="AX124" i="166"/>
  <c r="B124" i="166" s="1"/>
  <c r="AW125" i="166"/>
  <c r="B125" i="166" s="1"/>
  <c r="AJ103" i="168"/>
  <c r="AN34" i="172"/>
  <c r="AO34" i="172" s="1"/>
  <c r="AM35" i="172"/>
  <c r="AV104" i="166"/>
  <c r="B104" i="166" s="1"/>
  <c r="AU105" i="166"/>
  <c r="B105" i="166" s="1"/>
  <c r="AB138" i="166"/>
  <c r="B114" i="174"/>
  <c r="AJ101" i="166"/>
  <c r="AD42" i="170"/>
  <c r="AJ117" i="172"/>
  <c r="AN35" i="168"/>
  <c r="AV115" i="170"/>
  <c r="B115" i="170" s="1"/>
  <c r="AW114" i="170"/>
  <c r="AQ65" i="172"/>
  <c r="B65" i="172" s="1"/>
  <c r="AR64" i="172"/>
  <c r="AS85" i="172"/>
  <c r="B85" i="172" s="1"/>
  <c r="AT84" i="172"/>
  <c r="AF60" i="168"/>
  <c r="B94" i="174"/>
  <c r="AM35" i="166"/>
  <c r="AN34" i="166"/>
  <c r="AO34" i="166" s="1"/>
  <c r="B64" i="168"/>
  <c r="AK127" i="166"/>
  <c r="B84" i="168"/>
  <c r="AH97" i="170"/>
  <c r="AL122" i="168"/>
  <c r="AE52" i="166"/>
  <c r="AB131" i="172"/>
  <c r="AB37" i="172"/>
  <c r="AB131" i="170"/>
  <c r="AB37" i="170"/>
  <c r="AE50" i="174"/>
  <c r="AV115" i="172"/>
  <c r="B115" i="172" s="1"/>
  <c r="AW114" i="172"/>
  <c r="AG87" i="166"/>
  <c r="AS74" i="166"/>
  <c r="AR75" i="166"/>
  <c r="B75" i="166" s="1"/>
  <c r="B44" i="168"/>
  <c r="AG72" i="172"/>
  <c r="B74" i="174"/>
  <c r="AB134" i="168"/>
  <c r="AC32" i="168"/>
  <c r="AV115" i="166"/>
  <c r="B115" i="166" s="1"/>
  <c r="AW114" i="166"/>
  <c r="B114" i="166" s="1"/>
  <c r="AF62" i="166"/>
  <c r="AF60" i="174"/>
  <c r="AP44" i="170"/>
  <c r="AO45" i="170"/>
  <c r="B45" i="170" s="1"/>
  <c r="AG87" i="170"/>
  <c r="AB131" i="166"/>
  <c r="AB37" i="166"/>
  <c r="AO45" i="172"/>
  <c r="B45" i="172" s="1"/>
  <c r="AP44" i="172"/>
  <c r="B44" i="172" s="1"/>
  <c r="B54" i="168"/>
  <c r="AB134" i="174"/>
  <c r="AC32" i="174"/>
  <c r="AI92" i="174"/>
  <c r="B104" i="174"/>
  <c r="AO45" i="166"/>
  <c r="B45" i="166" s="1"/>
  <c r="AP44" i="166"/>
  <c r="B44" i="166" s="1"/>
  <c r="AS85" i="170"/>
  <c r="B85" i="170" s="1"/>
  <c r="AT84" i="170"/>
  <c r="AP55" i="170"/>
  <c r="B55" i="170" s="1"/>
  <c r="AQ54" i="170"/>
  <c r="AU105" i="172"/>
  <c r="B105" i="172" s="1"/>
  <c r="AV104" i="172"/>
  <c r="AT95" i="172"/>
  <c r="B95" i="172" s="1"/>
  <c r="AU94" i="172"/>
  <c r="AB133" i="168"/>
  <c r="AB137" i="168"/>
  <c r="AW125" i="172"/>
  <c r="B125" i="172" s="1"/>
  <c r="AX124" i="172"/>
  <c r="AJ102" i="170"/>
  <c r="AK112" i="168"/>
  <c r="AX124" i="170"/>
  <c r="AW125" i="170"/>
  <c r="B125" i="170" s="1"/>
  <c r="AQ54" i="172"/>
  <c r="B54" i="172" s="1"/>
  <c r="AP55" i="172"/>
  <c r="B55" i="172" s="1"/>
  <c r="AL122" i="174"/>
  <c r="AB133" i="174"/>
  <c r="AB137" i="174"/>
  <c r="AK127" i="172"/>
  <c r="AQ65" i="166"/>
  <c r="B65" i="166" s="1"/>
  <c r="AR64" i="166"/>
  <c r="AR75" i="170"/>
  <c r="B75" i="170" s="1"/>
  <c r="AS74" i="170"/>
  <c r="AS85" i="166"/>
  <c r="B85" i="166" s="1"/>
  <c r="AT84" i="166"/>
  <c r="B84" i="166" s="1"/>
  <c r="AK110" i="174"/>
  <c r="AQ34" i="168" l="1"/>
  <c r="AP35" i="168"/>
  <c r="AP35" i="174"/>
  <c r="AQ34" i="174"/>
  <c r="AO35" i="166"/>
  <c r="AP34" i="166"/>
  <c r="AP34" i="172"/>
  <c r="AO35" i="172"/>
  <c r="AO35" i="170"/>
  <c r="AP34" i="170"/>
  <c r="B64" i="166"/>
  <c r="B124" i="170"/>
  <c r="AB139" i="168"/>
  <c r="AC30" i="168"/>
  <c r="AE56" i="174"/>
  <c r="AB134" i="172"/>
  <c r="AC32" i="172"/>
  <c r="AN35" i="166"/>
  <c r="B84" i="172"/>
  <c r="AK112" i="172"/>
  <c r="AJ101" i="168"/>
  <c r="AG70" i="174"/>
  <c r="AH80" i="174"/>
  <c r="AG76" i="168"/>
  <c r="AN35" i="170"/>
  <c r="AF60" i="172"/>
  <c r="AB139" i="174"/>
  <c r="AB133" i="172"/>
  <c r="AB137" i="172"/>
  <c r="AL122" i="166"/>
  <c r="AD40" i="170"/>
  <c r="AG72" i="170"/>
  <c r="AG70" i="166"/>
  <c r="AH82" i="166"/>
  <c r="B114" i="172"/>
  <c r="AL120" i="168"/>
  <c r="B64" i="172"/>
  <c r="AN35" i="172"/>
  <c r="AJ100" i="172"/>
  <c r="AE50" i="172"/>
  <c r="AH80" i="172"/>
  <c r="AK112" i="166"/>
  <c r="B94" i="172"/>
  <c r="AL122" i="172"/>
  <c r="AL120" i="174"/>
  <c r="B104" i="172"/>
  <c r="AG70" i="172"/>
  <c r="B74" i="166"/>
  <c r="AI92" i="170"/>
  <c r="AJ107" i="166"/>
  <c r="AI91" i="168"/>
  <c r="AD40" i="166"/>
  <c r="AI92" i="166"/>
  <c r="B84" i="170"/>
  <c r="AF60" i="166"/>
  <c r="B124" i="172"/>
  <c r="AK116" i="174"/>
  <c r="AK110" i="168"/>
  <c r="AB134" i="166"/>
  <c r="AC32" i="166"/>
  <c r="B44" i="170"/>
  <c r="AF66" i="168"/>
  <c r="AF60" i="170"/>
  <c r="AH80" i="168"/>
  <c r="AI92" i="172"/>
  <c r="AB137" i="166"/>
  <c r="AB133" i="166"/>
  <c r="AB134" i="170"/>
  <c r="AC32" i="170"/>
  <c r="AE50" i="166"/>
  <c r="AK112" i="170"/>
  <c r="AL120" i="170"/>
  <c r="B94" i="170"/>
  <c r="B54" i="170"/>
  <c r="B74" i="170"/>
  <c r="AJ100" i="170"/>
  <c r="AI90" i="174"/>
  <c r="AC30" i="174"/>
  <c r="AF66" i="174"/>
  <c r="AB137" i="170"/>
  <c r="AB133" i="170"/>
  <c r="AD46" i="168"/>
  <c r="AJ106" i="174"/>
  <c r="AE50" i="170"/>
  <c r="AD40" i="172"/>
  <c r="AD46" i="174"/>
  <c r="B104" i="170"/>
  <c r="AH82" i="170"/>
  <c r="B114" i="170"/>
  <c r="AE56" i="168"/>
  <c r="B64" i="170"/>
  <c r="B74" i="172"/>
  <c r="AQ35" i="168" l="1"/>
  <c r="AR34" i="168"/>
  <c r="AQ35" i="174"/>
  <c r="AR34" i="174"/>
  <c r="AQ34" i="166"/>
  <c r="AP35" i="166"/>
  <c r="AQ34" i="172"/>
  <c r="AP35" i="172"/>
  <c r="AQ34" i="170"/>
  <c r="AP35" i="170"/>
  <c r="Q38" i="183"/>
  <c r="Q40" i="183"/>
  <c r="AE53" i="168"/>
  <c r="AH80" i="170"/>
  <c r="AB139" i="170"/>
  <c r="AF63" i="174"/>
  <c r="AJ106" i="170"/>
  <c r="AH86" i="168"/>
  <c r="AC30" i="166"/>
  <c r="AI90" i="166"/>
  <c r="AH86" i="172"/>
  <c r="AL126" i="168"/>
  <c r="AH80" i="166"/>
  <c r="AG70" i="170"/>
  <c r="AE56" i="170"/>
  <c r="AF66" i="170"/>
  <c r="AI90" i="170"/>
  <c r="AL126" i="174"/>
  <c r="AG76" i="166"/>
  <c r="AJ107" i="168"/>
  <c r="AK102" i="168" s="1"/>
  <c r="AK100" i="168" s="1"/>
  <c r="AJ103" i="174"/>
  <c r="AF63" i="168"/>
  <c r="AK113" i="174"/>
  <c r="AE56" i="172"/>
  <c r="AD46" i="172"/>
  <c r="AC36" i="174"/>
  <c r="AL126" i="170"/>
  <c r="AE56" i="166"/>
  <c r="AB139" i="166"/>
  <c r="AD46" i="166"/>
  <c r="AL120" i="172"/>
  <c r="AF66" i="172"/>
  <c r="AK110" i="172"/>
  <c r="AD43" i="174"/>
  <c r="AD43" i="168"/>
  <c r="AK102" i="166"/>
  <c r="AK100" i="166" s="1"/>
  <c r="AK106" i="166" s="1"/>
  <c r="AJ106" i="172"/>
  <c r="AH86" i="174"/>
  <c r="AC30" i="172"/>
  <c r="AI97" i="168"/>
  <c r="AJ92" i="168" s="1"/>
  <c r="AG76" i="172"/>
  <c r="AL120" i="166"/>
  <c r="AI96" i="174"/>
  <c r="AC30" i="170"/>
  <c r="AI90" i="172"/>
  <c r="AK110" i="166"/>
  <c r="AB139" i="172"/>
  <c r="AE53" i="174"/>
  <c r="AC36" i="168"/>
  <c r="AK110" i="170"/>
  <c r="AK116" i="168"/>
  <c r="AF66" i="166"/>
  <c r="AD46" i="170"/>
  <c r="AG73" i="168"/>
  <c r="AG76" i="174"/>
  <c r="AR35" i="168" l="1"/>
  <c r="AS34" i="168"/>
  <c r="AR35" i="174"/>
  <c r="AS34" i="174"/>
  <c r="AQ35" i="166"/>
  <c r="AR34" i="166"/>
  <c r="AQ35" i="172"/>
  <c r="AR34" i="172"/>
  <c r="AR34" i="170"/>
  <c r="AQ35" i="170"/>
  <c r="Q36" i="183"/>
  <c r="Q37" i="183"/>
  <c r="Q18" i="176"/>
  <c r="Q35" i="183"/>
  <c r="AJ90" i="168"/>
  <c r="AJ96" i="168" s="1"/>
  <c r="AK103" i="166"/>
  <c r="AE53" i="166"/>
  <c r="AI96" i="170"/>
  <c r="AH83" i="168"/>
  <c r="AK116" i="170"/>
  <c r="AL126" i="172"/>
  <c r="AF63" i="170"/>
  <c r="AG76" i="170"/>
  <c r="AF61" i="174"/>
  <c r="AG73" i="174"/>
  <c r="AL126" i="166"/>
  <c r="AC36" i="172"/>
  <c r="AE53" i="170"/>
  <c r="AE53" i="172"/>
  <c r="AC36" i="166"/>
  <c r="AF63" i="166"/>
  <c r="AE51" i="174"/>
  <c r="AH83" i="174"/>
  <c r="AD41" i="174"/>
  <c r="AK116" i="172"/>
  <c r="AL123" i="170"/>
  <c r="AK111" i="174"/>
  <c r="AJ101" i="174"/>
  <c r="AH83" i="172"/>
  <c r="AI96" i="172"/>
  <c r="AI93" i="174"/>
  <c r="AJ103" i="172"/>
  <c r="AF63" i="172"/>
  <c r="AD43" i="166"/>
  <c r="AK106" i="168"/>
  <c r="AL123" i="174"/>
  <c r="AH86" i="166"/>
  <c r="AJ103" i="170"/>
  <c r="AG71" i="168"/>
  <c r="AK113" i="168"/>
  <c r="AG73" i="172"/>
  <c r="AC33" i="174"/>
  <c r="AD43" i="172"/>
  <c r="AL123" i="168"/>
  <c r="AD43" i="170"/>
  <c r="AC33" i="168"/>
  <c r="AK116" i="166"/>
  <c r="AC36" i="170"/>
  <c r="AD41" i="168"/>
  <c r="AF61" i="168"/>
  <c r="AG73" i="166"/>
  <c r="AI96" i="166"/>
  <c r="AH86" i="170"/>
  <c r="AE51" i="168"/>
  <c r="AS35" i="168" l="1"/>
  <c r="AT34" i="168"/>
  <c r="AS35" i="174"/>
  <c r="AT34" i="174"/>
  <c r="AR35" i="166"/>
  <c r="AS34" i="166"/>
  <c r="AR35" i="172"/>
  <c r="AS34" i="172"/>
  <c r="AR35" i="170"/>
  <c r="AS34" i="170"/>
  <c r="Q42" i="183"/>
  <c r="AI93" i="166"/>
  <c r="AD47" i="168"/>
  <c r="AD41" i="170"/>
  <c r="AK103" i="168"/>
  <c r="AI91" i="174"/>
  <c r="AC33" i="170"/>
  <c r="AC31" i="168"/>
  <c r="AC132" i="168"/>
  <c r="AC31" i="174"/>
  <c r="AC132" i="174"/>
  <c r="AG77" i="168"/>
  <c r="AH72" i="168" s="1"/>
  <c r="AH70" i="168" s="1"/>
  <c r="AD41" i="166"/>
  <c r="AI93" i="172"/>
  <c r="AH81" i="172"/>
  <c r="AL121" i="170"/>
  <c r="AC33" i="166"/>
  <c r="AE51" i="170"/>
  <c r="AG71" i="174"/>
  <c r="AL123" i="172"/>
  <c r="AJ107" i="174"/>
  <c r="AK102" i="174" s="1"/>
  <c r="AK100" i="174" s="1"/>
  <c r="AE57" i="174"/>
  <c r="AF52" i="174" s="1"/>
  <c r="AF50" i="174" s="1"/>
  <c r="AK113" i="170"/>
  <c r="AI93" i="170"/>
  <c r="AL123" i="166"/>
  <c r="AF67" i="174"/>
  <c r="AG62" i="174" s="1"/>
  <c r="AG60" i="174" s="1"/>
  <c r="AF61" i="170"/>
  <c r="AE57" i="168"/>
  <c r="AF52" i="168" s="1"/>
  <c r="AF50" i="168" s="1"/>
  <c r="AF67" i="168"/>
  <c r="AG62" i="168" s="1"/>
  <c r="AH83" i="170"/>
  <c r="AK113" i="166"/>
  <c r="AK111" i="168"/>
  <c r="AJ101" i="170"/>
  <c r="AF61" i="172"/>
  <c r="AK113" i="172"/>
  <c r="AH81" i="174"/>
  <c r="AE51" i="166"/>
  <c r="AJ93" i="168"/>
  <c r="AL121" i="168"/>
  <c r="AH83" i="166"/>
  <c r="AF61" i="166"/>
  <c r="AE51" i="172"/>
  <c r="AC33" i="172"/>
  <c r="AD41" i="172"/>
  <c r="AL121" i="174"/>
  <c r="AK117" i="174"/>
  <c r="AG73" i="170"/>
  <c r="AH81" i="168"/>
  <c r="AK101" i="166"/>
  <c r="AG71" i="166"/>
  <c r="AG71" i="172"/>
  <c r="AJ101" i="172"/>
  <c r="AD47" i="174"/>
  <c r="AU34" i="168" l="1"/>
  <c r="AT35" i="168"/>
  <c r="AU34" i="174"/>
  <c r="AT35" i="174"/>
  <c r="AS35" i="166"/>
  <c r="AT34" i="166"/>
  <c r="AS35" i="172"/>
  <c r="AT34" i="172"/>
  <c r="AS35" i="170"/>
  <c r="AT34" i="170"/>
  <c r="AG77" i="172"/>
  <c r="AI97" i="174"/>
  <c r="AC31" i="172"/>
  <c r="AC132" i="172"/>
  <c r="AK111" i="172"/>
  <c r="AF67" i="172"/>
  <c r="AL121" i="166"/>
  <c r="AH87" i="172"/>
  <c r="AI82" i="172" s="1"/>
  <c r="AI80" i="172" s="1"/>
  <c r="AC131" i="174"/>
  <c r="AC37" i="174"/>
  <c r="AJ91" i="168"/>
  <c r="AC138" i="168"/>
  <c r="AD47" i="170"/>
  <c r="AE42" i="170" s="1"/>
  <c r="AE40" i="170" s="1"/>
  <c r="AH81" i="166"/>
  <c r="AI91" i="170"/>
  <c r="AL121" i="172"/>
  <c r="AC31" i="166"/>
  <c r="AC132" i="166"/>
  <c r="AH76" i="168"/>
  <c r="AK101" i="168"/>
  <c r="AE42" i="168"/>
  <c r="AE40" i="168" s="1"/>
  <c r="AE46" i="168" s="1"/>
  <c r="AK107" i="166"/>
  <c r="AL127" i="174"/>
  <c r="AM122" i="174" s="1"/>
  <c r="AE42" i="174"/>
  <c r="AE40" i="174" s="1"/>
  <c r="AJ107" i="172"/>
  <c r="AK102" i="172" s="1"/>
  <c r="AK100" i="172" s="1"/>
  <c r="AG77" i="166"/>
  <c r="AE57" i="166"/>
  <c r="AH81" i="170"/>
  <c r="AF67" i="170"/>
  <c r="AE57" i="170"/>
  <c r="AF52" i="170" s="1"/>
  <c r="AF50" i="170" s="1"/>
  <c r="AI91" i="172"/>
  <c r="AC131" i="168"/>
  <c r="AC37" i="168"/>
  <c r="AH87" i="168"/>
  <c r="AI82" i="168" s="1"/>
  <c r="AG71" i="170"/>
  <c r="AE57" i="172"/>
  <c r="AL127" i="168"/>
  <c r="AM122" i="168" s="1"/>
  <c r="AM120" i="168" s="1"/>
  <c r="AJ107" i="170"/>
  <c r="AK102" i="170" s="1"/>
  <c r="AG60" i="168"/>
  <c r="AG66" i="174"/>
  <c r="AF56" i="174"/>
  <c r="AL112" i="174"/>
  <c r="AL110" i="174" s="1"/>
  <c r="AL116" i="174" s="1"/>
  <c r="AH87" i="174"/>
  <c r="AK111" i="166"/>
  <c r="AK111" i="170"/>
  <c r="AD47" i="166"/>
  <c r="AD47" i="172"/>
  <c r="AF67" i="166"/>
  <c r="AG62" i="166" s="1"/>
  <c r="AG60" i="166" s="1"/>
  <c r="AK117" i="168"/>
  <c r="AL112" i="168" s="1"/>
  <c r="AL110" i="168" s="1"/>
  <c r="AF56" i="168"/>
  <c r="AK106" i="174"/>
  <c r="AG77" i="174"/>
  <c r="AL127" i="170"/>
  <c r="AC138" i="174"/>
  <c r="AC31" i="170"/>
  <c r="AC132" i="170"/>
  <c r="AI91" i="166"/>
  <c r="AU35" i="168" l="1"/>
  <c r="AV34" i="168"/>
  <c r="AV34" i="174"/>
  <c r="AU35" i="174"/>
  <c r="AT35" i="166"/>
  <c r="AU34" i="166"/>
  <c r="AT35" i="172"/>
  <c r="AU34" i="172"/>
  <c r="AU34" i="170"/>
  <c r="AT35" i="170"/>
  <c r="AL113" i="174"/>
  <c r="AF53" i="168"/>
  <c r="AC131" i="170"/>
  <c r="AC37" i="170"/>
  <c r="AK103" i="174"/>
  <c r="AF52" i="172"/>
  <c r="AF50" i="172" s="1"/>
  <c r="AF56" i="172" s="1"/>
  <c r="AG62" i="170"/>
  <c r="AG60" i="170" s="1"/>
  <c r="AG66" i="170" s="1"/>
  <c r="AF52" i="166"/>
  <c r="AK106" i="172"/>
  <c r="AL102" i="166"/>
  <c r="AL100" i="166" s="1"/>
  <c r="AL106" i="166" s="1"/>
  <c r="AL127" i="172"/>
  <c r="AI97" i="170"/>
  <c r="AJ92" i="170" s="1"/>
  <c r="AH87" i="166"/>
  <c r="AI86" i="172"/>
  <c r="AH72" i="172"/>
  <c r="AH70" i="172" s="1"/>
  <c r="AH76" i="172" s="1"/>
  <c r="AK117" i="166"/>
  <c r="AH72" i="174"/>
  <c r="AG63" i="174"/>
  <c r="AC134" i="168"/>
  <c r="AD32" i="168"/>
  <c r="AF56" i="170"/>
  <c r="AC138" i="172"/>
  <c r="AG66" i="166"/>
  <c r="AI97" i="166"/>
  <c r="AK117" i="170"/>
  <c r="AL112" i="170" s="1"/>
  <c r="AI82" i="174"/>
  <c r="AI80" i="174" s="1"/>
  <c r="AI86" i="174" s="1"/>
  <c r="AM126" i="168"/>
  <c r="AC133" i="168"/>
  <c r="AC137" i="168"/>
  <c r="AH87" i="170"/>
  <c r="AE46" i="174"/>
  <c r="AH73" i="168"/>
  <c r="AE46" i="170"/>
  <c r="AG66" i="168"/>
  <c r="AM120" i="174"/>
  <c r="AE43" i="168"/>
  <c r="AC138" i="166"/>
  <c r="AG62" i="172"/>
  <c r="AC131" i="172"/>
  <c r="AC37" i="172"/>
  <c r="AM122" i="170"/>
  <c r="AM120" i="170" s="1"/>
  <c r="AM126" i="170" s="1"/>
  <c r="AL116" i="168"/>
  <c r="AK100" i="170"/>
  <c r="AK106" i="170" s="1"/>
  <c r="AG77" i="170"/>
  <c r="AH72" i="170" s="1"/>
  <c r="AH70" i="170" s="1"/>
  <c r="AJ97" i="168"/>
  <c r="AK92" i="168" s="1"/>
  <c r="AK90" i="168" s="1"/>
  <c r="AK96" i="168" s="1"/>
  <c r="AC134" i="174"/>
  <c r="AD32" i="174"/>
  <c r="AE42" i="172"/>
  <c r="AE40" i="172" s="1"/>
  <c r="AE42" i="166"/>
  <c r="AE40" i="166" s="1"/>
  <c r="AE46" i="166" s="1"/>
  <c r="AF53" i="174"/>
  <c r="AI80" i="168"/>
  <c r="AI97" i="172"/>
  <c r="AH72" i="166"/>
  <c r="AH70" i="166" s="1"/>
  <c r="AH76" i="166" s="1"/>
  <c r="AC131" i="166"/>
  <c r="AC37" i="166"/>
  <c r="AC133" i="174"/>
  <c r="AC137" i="174"/>
  <c r="AL127" i="166"/>
  <c r="AJ92" i="174"/>
  <c r="AJ90" i="174" s="1"/>
  <c r="AC138" i="170"/>
  <c r="AK107" i="168"/>
  <c r="AL102" i="168" s="1"/>
  <c r="AL100" i="168" s="1"/>
  <c r="AL106" i="168" s="1"/>
  <c r="AK117" i="172"/>
  <c r="AW34" i="168" l="1"/>
  <c r="AV35" i="168"/>
  <c r="AV35" i="174"/>
  <c r="AW34" i="174"/>
  <c r="AU35" i="166"/>
  <c r="AV34" i="166"/>
  <c r="AU35" i="172"/>
  <c r="AV34" i="172"/>
  <c r="AV34" i="170"/>
  <c r="AU35" i="170"/>
  <c r="AG63" i="170"/>
  <c r="AH73" i="166"/>
  <c r="AC139" i="174"/>
  <c r="AC137" i="166"/>
  <c r="AC133" i="166"/>
  <c r="AE46" i="172"/>
  <c r="AC139" i="168"/>
  <c r="AI82" i="166"/>
  <c r="AI80" i="166" s="1"/>
  <c r="AI86" i="166" s="1"/>
  <c r="AI86" i="168"/>
  <c r="AD32" i="172"/>
  <c r="AC134" i="172"/>
  <c r="AE41" i="168"/>
  <c r="AE43" i="170"/>
  <c r="AG61" i="174"/>
  <c r="AH70" i="174"/>
  <c r="AI83" i="172"/>
  <c r="AK103" i="172"/>
  <c r="AF53" i="172"/>
  <c r="AF51" i="168"/>
  <c r="AC137" i="172"/>
  <c r="AC133" i="172"/>
  <c r="AM123" i="168"/>
  <c r="AJ92" i="166"/>
  <c r="AJ90" i="166" s="1"/>
  <c r="AF53" i="170"/>
  <c r="AL112" i="166"/>
  <c r="AH73" i="172"/>
  <c r="AJ90" i="170"/>
  <c r="AD30" i="174"/>
  <c r="AM123" i="170"/>
  <c r="AM126" i="174"/>
  <c r="AE43" i="174"/>
  <c r="AF50" i="166"/>
  <c r="AK101" i="174"/>
  <c r="AL113" i="168"/>
  <c r="AM122" i="166"/>
  <c r="AM120" i="166" s="1"/>
  <c r="AM126" i="166" s="1"/>
  <c r="AK93" i="168"/>
  <c r="AI82" i="170"/>
  <c r="AI80" i="170" s="1"/>
  <c r="AI86" i="170" s="1"/>
  <c r="AM122" i="172"/>
  <c r="AC134" i="170"/>
  <c r="AD32" i="170"/>
  <c r="AE43" i="166"/>
  <c r="AK103" i="170"/>
  <c r="AG60" i="172"/>
  <c r="AI83" i="174"/>
  <c r="AG63" i="166"/>
  <c r="AD30" i="168"/>
  <c r="AC133" i="170"/>
  <c r="AC137" i="170"/>
  <c r="AL112" i="172"/>
  <c r="AL110" i="172" s="1"/>
  <c r="AL116" i="172" s="1"/>
  <c r="AL103" i="168"/>
  <c r="AJ92" i="172"/>
  <c r="AJ90" i="172" s="1"/>
  <c r="AJ96" i="172" s="1"/>
  <c r="AH76" i="170"/>
  <c r="AJ96" i="174"/>
  <c r="AD32" i="166"/>
  <c r="AC134" i="166"/>
  <c r="AF51" i="174"/>
  <c r="AG63" i="168"/>
  <c r="AH71" i="168"/>
  <c r="AL110" i="170"/>
  <c r="AL103" i="166"/>
  <c r="AL111" i="174"/>
  <c r="AW35" i="168" l="1"/>
  <c r="AX34" i="168"/>
  <c r="AX34" i="174"/>
  <c r="AW35" i="174"/>
  <c r="AW34" i="166"/>
  <c r="AV35" i="166"/>
  <c r="AV35" i="172"/>
  <c r="AW34" i="172"/>
  <c r="AW34" i="170"/>
  <c r="AV35" i="170"/>
  <c r="R38" i="183"/>
  <c r="R40" i="183"/>
  <c r="AL117" i="174"/>
  <c r="AM112" i="174" s="1"/>
  <c r="AM110" i="174" s="1"/>
  <c r="AM116" i="174" s="1"/>
  <c r="AL116" i="170"/>
  <c r="AM120" i="172"/>
  <c r="AK91" i="168"/>
  <c r="AE41" i="174"/>
  <c r="AM123" i="174"/>
  <c r="AM121" i="168"/>
  <c r="AH73" i="170"/>
  <c r="AC139" i="170"/>
  <c r="AI81" i="174"/>
  <c r="AF57" i="168"/>
  <c r="AE41" i="170"/>
  <c r="AD30" i="172"/>
  <c r="AD30" i="170"/>
  <c r="AD36" i="174"/>
  <c r="AI81" i="172"/>
  <c r="AJ93" i="172"/>
  <c r="AK101" i="170"/>
  <c r="AM121" i="170"/>
  <c r="AH71" i="172"/>
  <c r="AJ96" i="166"/>
  <c r="AH71" i="166"/>
  <c r="AH77" i="168"/>
  <c r="AI72" i="168" s="1"/>
  <c r="AI70" i="168" s="1"/>
  <c r="AI76" i="168" s="1"/>
  <c r="AJ93" i="174"/>
  <c r="AL101" i="168"/>
  <c r="AD36" i="168"/>
  <c r="AI83" i="170"/>
  <c r="AC139" i="172"/>
  <c r="AF51" i="172"/>
  <c r="AG67" i="174"/>
  <c r="AH62" i="174" s="1"/>
  <c r="AH60" i="174" s="1"/>
  <c r="AH66" i="174" s="1"/>
  <c r="AI83" i="166"/>
  <c r="AG61" i="170"/>
  <c r="AL113" i="172"/>
  <c r="AL111" i="168"/>
  <c r="AK107" i="174"/>
  <c r="AL110" i="166"/>
  <c r="AE47" i="168"/>
  <c r="AF42" i="168" s="1"/>
  <c r="AF40" i="168" s="1"/>
  <c r="AF46" i="168" s="1"/>
  <c r="AI83" i="168"/>
  <c r="AE43" i="172"/>
  <c r="AD30" i="166"/>
  <c r="AG61" i="166"/>
  <c r="AG66" i="172"/>
  <c r="AE41" i="166"/>
  <c r="AM123" i="166"/>
  <c r="AJ96" i="170"/>
  <c r="AF51" i="170"/>
  <c r="AH76" i="174"/>
  <c r="AL101" i="166"/>
  <c r="AG61" i="168"/>
  <c r="AF57" i="174"/>
  <c r="AF56" i="166"/>
  <c r="AK101" i="172"/>
  <c r="AC139" i="166"/>
  <c r="AX35" i="168" l="1"/>
  <c r="B35" i="168" s="1"/>
  <c r="AY34" i="168"/>
  <c r="B34" i="168"/>
  <c r="AX35" i="174"/>
  <c r="B35" i="174" s="1"/>
  <c r="AY34" i="174"/>
  <c r="B34" i="174"/>
  <c r="AW35" i="166"/>
  <c r="AX34" i="166"/>
  <c r="AX34" i="172"/>
  <c r="AW35" i="172"/>
  <c r="AX34" i="170"/>
  <c r="AW35" i="170"/>
  <c r="R37" i="183"/>
  <c r="R18" i="176"/>
  <c r="R36" i="183"/>
  <c r="R35" i="183"/>
  <c r="AM127" i="170"/>
  <c r="AN122" i="170" s="1"/>
  <c r="AN120" i="170" s="1"/>
  <c r="AN126" i="170" s="1"/>
  <c r="AD36" i="172"/>
  <c r="AG67" i="168"/>
  <c r="AH62" i="168" s="1"/>
  <c r="AH60" i="168" s="1"/>
  <c r="AH66" i="168" s="1"/>
  <c r="AL102" i="174"/>
  <c r="AL100" i="174" s="1"/>
  <c r="AL106" i="174" s="1"/>
  <c r="AL111" i="172"/>
  <c r="AF57" i="172"/>
  <c r="AI81" i="170"/>
  <c r="AJ91" i="172"/>
  <c r="AH73" i="174"/>
  <c r="AI81" i="168"/>
  <c r="AG67" i="170"/>
  <c r="AK107" i="170"/>
  <c r="AL102" i="170" s="1"/>
  <c r="AL100" i="170" s="1"/>
  <c r="AL106" i="170" s="1"/>
  <c r="AD33" i="174"/>
  <c r="AM127" i="168"/>
  <c r="AN122" i="168" s="1"/>
  <c r="AN120" i="168" s="1"/>
  <c r="AN126" i="168" s="1"/>
  <c r="AL107" i="166"/>
  <c r="AM102" i="166" s="1"/>
  <c r="AM100" i="166" s="1"/>
  <c r="AM106" i="166" s="1"/>
  <c r="AM103" i="166" s="1"/>
  <c r="AM101" i="166" s="1"/>
  <c r="AM107" i="166" s="1"/>
  <c r="AN102" i="166" s="1"/>
  <c r="AN100" i="166" s="1"/>
  <c r="AN106" i="166" s="1"/>
  <c r="AE47" i="166"/>
  <c r="AF43" i="168"/>
  <c r="AL107" i="168"/>
  <c r="AM102" i="168" s="1"/>
  <c r="AM100" i="168" s="1"/>
  <c r="AM106" i="168" s="1"/>
  <c r="AJ91" i="174"/>
  <c r="AE47" i="170"/>
  <c r="AF42" i="170" s="1"/>
  <c r="AF40" i="170" s="1"/>
  <c r="AF46" i="170" s="1"/>
  <c r="AI87" i="174"/>
  <c r="AJ82" i="174" s="1"/>
  <c r="AJ80" i="174" s="1"/>
  <c r="AJ86" i="174" s="1"/>
  <c r="AL113" i="170"/>
  <c r="AK107" i="172"/>
  <c r="AG63" i="172"/>
  <c r="AL117" i="168"/>
  <c r="AM112" i="168" s="1"/>
  <c r="AM110" i="168" s="1"/>
  <c r="AM116" i="168" s="1"/>
  <c r="AI73" i="168"/>
  <c r="AJ93" i="166"/>
  <c r="AD36" i="170"/>
  <c r="AH71" i="170"/>
  <c r="AM113" i="174"/>
  <c r="AF57" i="170"/>
  <c r="AI81" i="166"/>
  <c r="AM121" i="174"/>
  <c r="AK97" i="168"/>
  <c r="AL92" i="168" s="1"/>
  <c r="AL90" i="168" s="1"/>
  <c r="AL96" i="168" s="1"/>
  <c r="AL93" i="168" s="1"/>
  <c r="AL91" i="168" s="1"/>
  <c r="AL97" i="168" s="1"/>
  <c r="AM92" i="168" s="1"/>
  <c r="AM90" i="168" s="1"/>
  <c r="AM96" i="168" s="1"/>
  <c r="AM93" i="168" s="1"/>
  <c r="AM91" i="168" s="1"/>
  <c r="AM97" i="168" s="1"/>
  <c r="AN92" i="168" s="1"/>
  <c r="AN90" i="168" s="1"/>
  <c r="AN96" i="168" s="1"/>
  <c r="AN93" i="168" s="1"/>
  <c r="AN91" i="168" s="1"/>
  <c r="AN97" i="168" s="1"/>
  <c r="AO92" i="168" s="1"/>
  <c r="AO90" i="168" s="1"/>
  <c r="AO96" i="168" s="1"/>
  <c r="AO93" i="168" s="1"/>
  <c r="AO91" i="168" s="1"/>
  <c r="AO97" i="168" s="1"/>
  <c r="AP92" i="168" s="1"/>
  <c r="AP90" i="168" s="1"/>
  <c r="AP96" i="168" s="1"/>
  <c r="AG52" i="174"/>
  <c r="AG50" i="174" s="1"/>
  <c r="AG56" i="174" s="1"/>
  <c r="AD36" i="166"/>
  <c r="AE41" i="172"/>
  <c r="AL116" i="166"/>
  <c r="AH63" i="174"/>
  <c r="AH77" i="172"/>
  <c r="AI72" i="172" s="1"/>
  <c r="AI70" i="172" s="1"/>
  <c r="AI76" i="172" s="1"/>
  <c r="AI87" i="172"/>
  <c r="AF53" i="166"/>
  <c r="AJ93" i="170"/>
  <c r="AM121" i="166"/>
  <c r="AG67" i="166"/>
  <c r="AH62" i="166" s="1"/>
  <c r="AH60" i="166" s="1"/>
  <c r="AH66" i="166" s="1"/>
  <c r="AD33" i="168"/>
  <c r="AH77" i="166"/>
  <c r="AI72" i="166" s="1"/>
  <c r="AI70" i="166" s="1"/>
  <c r="AI76" i="166" s="1"/>
  <c r="AG52" i="168"/>
  <c r="AG50" i="168" s="1"/>
  <c r="AG56" i="168" s="1"/>
  <c r="AE47" i="174"/>
  <c r="AM126" i="172"/>
  <c r="AY34" i="166" l="1"/>
  <c r="AX35" i="166"/>
  <c r="B35" i="166" s="1"/>
  <c r="B34" i="166"/>
  <c r="AY34" i="172"/>
  <c r="B34" i="172" s="1"/>
  <c r="AX35" i="172"/>
  <c r="B35" i="172" s="1"/>
  <c r="AY34" i="170"/>
  <c r="B34" i="170" s="1"/>
  <c r="AX35" i="170"/>
  <c r="B35" i="170" s="1"/>
  <c r="R42" i="183"/>
  <c r="R27" i="176"/>
  <c r="R22" i="176"/>
  <c r="AG53" i="168"/>
  <c r="AG53" i="174"/>
  <c r="AJ82" i="172"/>
  <c r="AJ80" i="172" s="1"/>
  <c r="AJ86" i="172" s="1"/>
  <c r="AM111" i="174"/>
  <c r="AL111" i="170"/>
  <c r="AF42" i="166"/>
  <c r="AF40" i="166" s="1"/>
  <c r="AF46" i="166" s="1"/>
  <c r="AL103" i="170"/>
  <c r="AI73" i="172"/>
  <c r="AH61" i="174"/>
  <c r="AM127" i="174"/>
  <c r="AN122" i="174" s="1"/>
  <c r="AN120" i="174" s="1"/>
  <c r="AN126" i="174" s="1"/>
  <c r="AJ91" i="166"/>
  <c r="AL102" i="172"/>
  <c r="AL100" i="172" s="1"/>
  <c r="AL106" i="172" s="1"/>
  <c r="AJ83" i="174"/>
  <c r="AH71" i="174"/>
  <c r="AI87" i="170"/>
  <c r="AJ82" i="170" s="1"/>
  <c r="AJ80" i="170" s="1"/>
  <c r="AJ86" i="170" s="1"/>
  <c r="AN123" i="170"/>
  <c r="AM123" i="172"/>
  <c r="AD31" i="168"/>
  <c r="AD132" i="168"/>
  <c r="AH77" i="170"/>
  <c r="AI72" i="170" s="1"/>
  <c r="AI70" i="170" s="1"/>
  <c r="AI76" i="170" s="1"/>
  <c r="AD33" i="170"/>
  <c r="AG52" i="172"/>
  <c r="AG50" i="172" s="1"/>
  <c r="AG56" i="172" s="1"/>
  <c r="AD33" i="172"/>
  <c r="AM127" i="166"/>
  <c r="AF51" i="166"/>
  <c r="AL113" i="166"/>
  <c r="AI87" i="166"/>
  <c r="AG61" i="172"/>
  <c r="AF43" i="170"/>
  <c r="AI73" i="166"/>
  <c r="AJ91" i="170"/>
  <c r="AG52" i="170"/>
  <c r="AG50" i="170" s="1"/>
  <c r="AG56" i="170" s="1"/>
  <c r="AI71" i="168"/>
  <c r="AF41" i="168"/>
  <c r="AN103" i="166"/>
  <c r="AN101" i="166" s="1"/>
  <c r="AN107" i="166" s="1"/>
  <c r="AO102" i="166" s="1"/>
  <c r="AO100" i="166" s="1"/>
  <c r="AO106" i="166" s="1"/>
  <c r="AH62" i="170"/>
  <c r="AH60" i="170" s="1"/>
  <c r="AH66" i="170" s="1"/>
  <c r="AJ97" i="172"/>
  <c r="AK92" i="172" s="1"/>
  <c r="AK90" i="172" s="1"/>
  <c r="AK96" i="172" s="1"/>
  <c r="AF42" i="174"/>
  <c r="AF40" i="174" s="1"/>
  <c r="AF46" i="174" s="1"/>
  <c r="AE47" i="172"/>
  <c r="AJ97" i="174"/>
  <c r="AK92" i="174" s="1"/>
  <c r="AK90" i="174" s="1"/>
  <c r="AK96" i="174" s="1"/>
  <c r="AL117" i="172"/>
  <c r="AM112" i="172" s="1"/>
  <c r="AM110" i="172" s="1"/>
  <c r="AM116" i="172" s="1"/>
  <c r="AH63" i="166"/>
  <c r="AD33" i="166"/>
  <c r="AP93" i="168"/>
  <c r="AP91" i="168" s="1"/>
  <c r="AP97" i="168" s="1"/>
  <c r="AQ92" i="168" s="1"/>
  <c r="AQ90" i="168" s="1"/>
  <c r="AQ96" i="168" s="1"/>
  <c r="AQ93" i="168" s="1"/>
  <c r="AQ91" i="168" s="1"/>
  <c r="AQ97" i="168" s="1"/>
  <c r="AR92" i="168" s="1"/>
  <c r="AR90" i="168" s="1"/>
  <c r="AR96" i="168" s="1"/>
  <c r="AL103" i="174"/>
  <c r="AM113" i="168"/>
  <c r="AM103" i="168"/>
  <c r="AM101" i="168" s="1"/>
  <c r="AM107" i="168" s="1"/>
  <c r="AN102" i="168" s="1"/>
  <c r="AN100" i="168" s="1"/>
  <c r="AN106" i="168" s="1"/>
  <c r="AN103" i="168" s="1"/>
  <c r="AN101" i="168" s="1"/>
  <c r="AN107" i="168" s="1"/>
  <c r="AO102" i="168" s="1"/>
  <c r="AO100" i="168" s="1"/>
  <c r="AO106" i="168" s="1"/>
  <c r="AO103" i="168" s="1"/>
  <c r="AO101" i="168" s="1"/>
  <c r="AO107" i="168" s="1"/>
  <c r="AP102" i="168" s="1"/>
  <c r="AP100" i="168" s="1"/>
  <c r="AP106" i="168" s="1"/>
  <c r="AP103" i="168" s="1"/>
  <c r="AP101" i="168" s="1"/>
  <c r="AP107" i="168" s="1"/>
  <c r="AQ102" i="168" s="1"/>
  <c r="AQ100" i="168" s="1"/>
  <c r="AQ106" i="168" s="1"/>
  <c r="AQ103" i="168" s="1"/>
  <c r="AQ101" i="168" s="1"/>
  <c r="AQ107" i="168" s="1"/>
  <c r="AR102" i="168" s="1"/>
  <c r="AR100" i="168" s="1"/>
  <c r="AR106" i="168" s="1"/>
  <c r="AN123" i="168"/>
  <c r="AD31" i="174"/>
  <c r="AD132" i="174"/>
  <c r="AI87" i="168"/>
  <c r="AJ82" i="168" s="1"/>
  <c r="AJ80" i="168" s="1"/>
  <c r="AJ86" i="168" s="1"/>
  <c r="AH63" i="168"/>
  <c r="R29" i="176" l="1"/>
  <c r="AR93" i="168"/>
  <c r="AR91" i="168" s="1"/>
  <c r="AR97" i="168" s="1"/>
  <c r="AH63" i="170"/>
  <c r="AO103" i="166"/>
  <c r="AO101" i="166" s="1"/>
  <c r="AO107" i="166" s="1"/>
  <c r="AP102" i="166" s="1"/>
  <c r="AP100" i="166" s="1"/>
  <c r="AP106" i="166" s="1"/>
  <c r="AJ83" i="168"/>
  <c r="AL101" i="174"/>
  <c r="AH61" i="166"/>
  <c r="AK93" i="174"/>
  <c r="AK93" i="172"/>
  <c r="AF47" i="168"/>
  <c r="AG42" i="168" s="1"/>
  <c r="AG40" i="168" s="1"/>
  <c r="AG46" i="168" s="1"/>
  <c r="AG43" i="168" s="1"/>
  <c r="AG41" i="168" s="1"/>
  <c r="AG47" i="168" s="1"/>
  <c r="AH42" i="168" s="1"/>
  <c r="AH40" i="168" s="1"/>
  <c r="AH46" i="168" s="1"/>
  <c r="AH43" i="168" s="1"/>
  <c r="AH41" i="168" s="1"/>
  <c r="AH47" i="168" s="1"/>
  <c r="AI42" i="168" s="1"/>
  <c r="AI40" i="168" s="1"/>
  <c r="AI46" i="168" s="1"/>
  <c r="AI43" i="168" s="1"/>
  <c r="AI41" i="168" s="1"/>
  <c r="AI47" i="168" s="1"/>
  <c r="AJ42" i="168" s="1"/>
  <c r="AJ40" i="168" s="1"/>
  <c r="AJ46" i="168" s="1"/>
  <c r="AJ97" i="170"/>
  <c r="AK92" i="170" s="1"/>
  <c r="AK90" i="170" s="1"/>
  <c r="AK96" i="170" s="1"/>
  <c r="AF41" i="170"/>
  <c r="AD31" i="170"/>
  <c r="AD132" i="170"/>
  <c r="AJ97" i="166"/>
  <c r="AI71" i="172"/>
  <c r="AF43" i="166"/>
  <c r="AH61" i="168"/>
  <c r="AD31" i="166"/>
  <c r="AD132" i="166"/>
  <c r="AG53" i="170"/>
  <c r="AN122" i="166"/>
  <c r="AN120" i="166" s="1"/>
  <c r="AN126" i="166" s="1"/>
  <c r="AG53" i="172"/>
  <c r="AI73" i="170"/>
  <c r="AD138" i="168"/>
  <c r="AN121" i="170"/>
  <c r="AH77" i="174"/>
  <c r="AI72" i="174" s="1"/>
  <c r="AI70" i="174" s="1"/>
  <c r="AI76" i="174" s="1"/>
  <c r="AD138" i="174"/>
  <c r="AR103" i="168"/>
  <c r="AR101" i="168" s="1"/>
  <c r="AR107" i="168" s="1"/>
  <c r="AS102" i="168" s="1"/>
  <c r="AS100" i="168" s="1"/>
  <c r="AS106" i="168" s="1"/>
  <c r="AG67" i="172"/>
  <c r="AH62" i="172" s="1"/>
  <c r="AH60" i="172" s="1"/>
  <c r="AH66" i="172" s="1"/>
  <c r="AN123" i="174"/>
  <c r="AM117" i="174"/>
  <c r="AN112" i="174" s="1"/>
  <c r="AN110" i="174" s="1"/>
  <c r="AN116" i="174" s="1"/>
  <c r="AN113" i="174" s="1"/>
  <c r="AN111" i="174" s="1"/>
  <c r="AN117" i="174" s="1"/>
  <c r="AG51" i="174"/>
  <c r="AM113" i="172"/>
  <c r="AI71" i="166"/>
  <c r="AJ82" i="166"/>
  <c r="AJ80" i="166" s="1"/>
  <c r="AJ86" i="166" s="1"/>
  <c r="AD131" i="168"/>
  <c r="AD37" i="168"/>
  <c r="AD131" i="174"/>
  <c r="AD37" i="174"/>
  <c r="AJ83" i="170"/>
  <c r="AJ81" i="174"/>
  <c r="AL101" i="170"/>
  <c r="AF42" i="172"/>
  <c r="AF40" i="172" s="1"/>
  <c r="AF46" i="172" s="1"/>
  <c r="AI77" i="168"/>
  <c r="AJ72" i="168" s="1"/>
  <c r="AJ70" i="168" s="1"/>
  <c r="AJ76" i="168" s="1"/>
  <c r="AJ73" i="168" s="1"/>
  <c r="AJ71" i="168" s="1"/>
  <c r="AJ77" i="168" s="1"/>
  <c r="AK72" i="168" s="1"/>
  <c r="AK70" i="168" s="1"/>
  <c r="AK76" i="168" s="1"/>
  <c r="AK73" i="168" s="1"/>
  <c r="AK71" i="168" s="1"/>
  <c r="AK77" i="168" s="1"/>
  <c r="AL72" i="168" s="1"/>
  <c r="AL70" i="168" s="1"/>
  <c r="AL76" i="168" s="1"/>
  <c r="AD31" i="172"/>
  <c r="AD132" i="172"/>
  <c r="AL103" i="172"/>
  <c r="AH67" i="174"/>
  <c r="AI62" i="174" s="1"/>
  <c r="AI60" i="174" s="1"/>
  <c r="AI66" i="174" s="1"/>
  <c r="AI63" i="174" s="1"/>
  <c r="AI61" i="174" s="1"/>
  <c r="AI67" i="174" s="1"/>
  <c r="AJ62" i="174" s="1"/>
  <c r="AJ60" i="174" s="1"/>
  <c r="AJ66" i="174" s="1"/>
  <c r="AJ63" i="174" s="1"/>
  <c r="AJ61" i="174" s="1"/>
  <c r="AJ67" i="174" s="1"/>
  <c r="AG51" i="168"/>
  <c r="AM111" i="168"/>
  <c r="AF43" i="174"/>
  <c r="AF57" i="166"/>
  <c r="AM121" i="172"/>
  <c r="AL117" i="170"/>
  <c r="AM112" i="170" s="1"/>
  <c r="AM110" i="170" s="1"/>
  <c r="AM116" i="170" s="1"/>
  <c r="AJ83" i="172"/>
  <c r="AN121" i="168"/>
  <c r="AL111" i="166"/>
  <c r="AP103" i="166" l="1"/>
  <c r="AP101" i="166" s="1"/>
  <c r="AP107" i="166" s="1"/>
  <c r="AQ102" i="166" s="1"/>
  <c r="AQ100" i="166" s="1"/>
  <c r="AQ106" i="166" s="1"/>
  <c r="AQ103" i="166" s="1"/>
  <c r="AQ101" i="166" s="1"/>
  <c r="AQ107" i="166" s="1"/>
  <c r="AR102" i="166" s="1"/>
  <c r="AR100" i="166" s="1"/>
  <c r="AR106" i="166" s="1"/>
  <c r="AR103" i="166" s="1"/>
  <c r="AR101" i="166" s="1"/>
  <c r="AR107" i="166" s="1"/>
  <c r="AS103" i="168"/>
  <c r="AS101" i="168" s="1"/>
  <c r="AS107" i="168" s="1"/>
  <c r="AT102" i="168" s="1"/>
  <c r="AT100" i="168" s="1"/>
  <c r="AT106" i="168" s="1"/>
  <c r="AT103" i="168" s="1"/>
  <c r="AT101" i="168" s="1"/>
  <c r="AT107" i="168" s="1"/>
  <c r="AL117" i="166"/>
  <c r="AD131" i="172"/>
  <c r="AD37" i="172"/>
  <c r="AL107" i="170"/>
  <c r="AM102" i="170" s="1"/>
  <c r="AM100" i="170" s="1"/>
  <c r="AM106" i="170" s="1"/>
  <c r="AM103" i="170" s="1"/>
  <c r="AM101" i="170" s="1"/>
  <c r="AM107" i="170" s="1"/>
  <c r="AN102" i="170" s="1"/>
  <c r="AN100" i="170" s="1"/>
  <c r="AN106" i="170" s="1"/>
  <c r="AN103" i="170" s="1"/>
  <c r="AN101" i="170" s="1"/>
  <c r="AN107" i="170" s="1"/>
  <c r="AO102" i="170" s="1"/>
  <c r="AO100" i="170" s="1"/>
  <c r="AO106" i="170" s="1"/>
  <c r="AO103" i="170" s="1"/>
  <c r="AO101" i="170" s="1"/>
  <c r="AO107" i="170" s="1"/>
  <c r="AP102" i="170" s="1"/>
  <c r="AP100" i="170" s="1"/>
  <c r="AP106" i="170" s="1"/>
  <c r="AP103" i="170" s="1"/>
  <c r="AP101" i="170" s="1"/>
  <c r="AP107" i="170" s="1"/>
  <c r="AQ102" i="170" s="1"/>
  <c r="AQ100" i="170" s="1"/>
  <c r="AQ106" i="170" s="1"/>
  <c r="AD133" i="174"/>
  <c r="AD137" i="174"/>
  <c r="AN123" i="166"/>
  <c r="AD138" i="166"/>
  <c r="AD138" i="170"/>
  <c r="AJ81" i="168"/>
  <c r="AJ83" i="166"/>
  <c r="AG57" i="174"/>
  <c r="AH52" i="174" s="1"/>
  <c r="AH50" i="174" s="1"/>
  <c r="AH56" i="174" s="1"/>
  <c r="AH53" i="174" s="1"/>
  <c r="AH51" i="174" s="1"/>
  <c r="AH57" i="174" s="1"/>
  <c r="AI52" i="174" s="1"/>
  <c r="AI50" i="174" s="1"/>
  <c r="AI56" i="174" s="1"/>
  <c r="AI53" i="174" s="1"/>
  <c r="AI51" i="174" s="1"/>
  <c r="AI57" i="174" s="1"/>
  <c r="AJ52" i="174" s="1"/>
  <c r="AJ50" i="174" s="1"/>
  <c r="AJ56" i="174" s="1"/>
  <c r="AJ53" i="174" s="1"/>
  <c r="AJ51" i="174" s="1"/>
  <c r="AJ57" i="174" s="1"/>
  <c r="AK52" i="174" s="1"/>
  <c r="AK50" i="174" s="1"/>
  <c r="AK56" i="174" s="1"/>
  <c r="AK53" i="174" s="1"/>
  <c r="AK51" i="174" s="1"/>
  <c r="AK57" i="174" s="1"/>
  <c r="AL52" i="174" s="1"/>
  <c r="AL50" i="174" s="1"/>
  <c r="AL56" i="174" s="1"/>
  <c r="AL53" i="174" s="1"/>
  <c r="AL51" i="174" s="1"/>
  <c r="AL57" i="174" s="1"/>
  <c r="AM52" i="174" s="1"/>
  <c r="AM50" i="174" s="1"/>
  <c r="AM56" i="174" s="1"/>
  <c r="AM53" i="174" s="1"/>
  <c r="AM51" i="174" s="1"/>
  <c r="AM57" i="174" s="1"/>
  <c r="AN52" i="174" s="1"/>
  <c r="AN50" i="174" s="1"/>
  <c r="AN56" i="174" s="1"/>
  <c r="AN53" i="174" s="1"/>
  <c r="AN51" i="174" s="1"/>
  <c r="AN57" i="174" s="1"/>
  <c r="AO52" i="174" s="1"/>
  <c r="AO50" i="174" s="1"/>
  <c r="AO56" i="174" s="1"/>
  <c r="AO53" i="174" s="1"/>
  <c r="AO51" i="174" s="1"/>
  <c r="AO57" i="174" s="1"/>
  <c r="AP52" i="174" s="1"/>
  <c r="AP50" i="174" s="1"/>
  <c r="AP56" i="174" s="1"/>
  <c r="AH63" i="172"/>
  <c r="AH67" i="168"/>
  <c r="AH67" i="166"/>
  <c r="AI62" i="166" s="1"/>
  <c r="AI60" i="166" s="1"/>
  <c r="AI66" i="166" s="1"/>
  <c r="AI63" i="166" s="1"/>
  <c r="AI61" i="166" s="1"/>
  <c r="AI67" i="166" s="1"/>
  <c r="AJ62" i="166" s="1"/>
  <c r="AJ60" i="166" s="1"/>
  <c r="AJ66" i="166" s="1"/>
  <c r="AJ63" i="166" s="1"/>
  <c r="AJ61" i="166" s="1"/>
  <c r="AJ67" i="166" s="1"/>
  <c r="AK62" i="166" s="1"/>
  <c r="AK60" i="166" s="1"/>
  <c r="AK66" i="166" s="1"/>
  <c r="AK63" i="166" s="1"/>
  <c r="AK61" i="166" s="1"/>
  <c r="AK67" i="166" s="1"/>
  <c r="AL62" i="166" s="1"/>
  <c r="AL60" i="166" s="1"/>
  <c r="AL66" i="166" s="1"/>
  <c r="AM127" i="172"/>
  <c r="AN122" i="172" s="1"/>
  <c r="AN120" i="172" s="1"/>
  <c r="AN126" i="172" s="1"/>
  <c r="AL101" i="172"/>
  <c r="AG52" i="166"/>
  <c r="AG50" i="166" s="1"/>
  <c r="AG56" i="166" s="1"/>
  <c r="AF41" i="174"/>
  <c r="AG57" i="168"/>
  <c r="AH52" i="168" s="1"/>
  <c r="AH50" i="168" s="1"/>
  <c r="AH56" i="168" s="1"/>
  <c r="AH53" i="168" s="1"/>
  <c r="AH51" i="168" s="1"/>
  <c r="AH57" i="168" s="1"/>
  <c r="AF43" i="172"/>
  <c r="AJ87" i="174"/>
  <c r="AK82" i="174" s="1"/>
  <c r="AK80" i="174" s="1"/>
  <c r="AK86" i="174" s="1"/>
  <c r="AK83" i="174" s="1"/>
  <c r="AK81" i="174" s="1"/>
  <c r="AK87" i="174" s="1"/>
  <c r="AL82" i="174" s="1"/>
  <c r="AL80" i="174" s="1"/>
  <c r="AL86" i="174" s="1"/>
  <c r="AL83" i="174" s="1"/>
  <c r="AL81" i="174" s="1"/>
  <c r="AL87" i="174" s="1"/>
  <c r="AM82" i="174" s="1"/>
  <c r="AM80" i="174" s="1"/>
  <c r="AM86" i="174" s="1"/>
  <c r="AD134" i="168"/>
  <c r="AE32" i="168"/>
  <c r="AO112" i="174"/>
  <c r="AO110" i="174" s="1"/>
  <c r="AO116" i="174" s="1"/>
  <c r="AO113" i="174" s="1"/>
  <c r="AO111" i="174" s="1"/>
  <c r="AO117" i="174" s="1"/>
  <c r="AP112" i="174" s="1"/>
  <c r="AP110" i="174" s="1"/>
  <c r="AP116" i="174" s="1"/>
  <c r="AP113" i="174" s="1"/>
  <c r="AP111" i="174" s="1"/>
  <c r="AP117" i="174" s="1"/>
  <c r="AD131" i="166"/>
  <c r="AD37" i="166"/>
  <c r="AI77" i="172"/>
  <c r="AJ72" i="172" s="1"/>
  <c r="AJ70" i="172" s="1"/>
  <c r="AJ76" i="172" s="1"/>
  <c r="AJ73" i="172" s="1"/>
  <c r="AJ71" i="172" s="1"/>
  <c r="AJ77" i="172" s="1"/>
  <c r="AK72" i="172" s="1"/>
  <c r="AK70" i="172" s="1"/>
  <c r="AK76" i="172" s="1"/>
  <c r="AK73" i="172" s="1"/>
  <c r="AK71" i="172" s="1"/>
  <c r="AK77" i="172" s="1"/>
  <c r="AL72" i="172" s="1"/>
  <c r="AL70" i="172" s="1"/>
  <c r="AL76" i="172" s="1"/>
  <c r="AL73" i="172" s="1"/>
  <c r="AL71" i="172" s="1"/>
  <c r="AL77" i="172" s="1"/>
  <c r="AM72" i="172" s="1"/>
  <c r="AM70" i="172" s="1"/>
  <c r="AM76" i="172" s="1"/>
  <c r="AM73" i="172" s="1"/>
  <c r="AM71" i="172" s="1"/>
  <c r="AM77" i="172" s="1"/>
  <c r="AD131" i="170"/>
  <c r="AD37" i="170"/>
  <c r="AK93" i="170"/>
  <c r="AD133" i="168"/>
  <c r="AD137" i="168"/>
  <c r="AM111" i="172"/>
  <c r="AI73" i="174"/>
  <c r="AI71" i="170"/>
  <c r="AG51" i="170"/>
  <c r="AK92" i="166"/>
  <c r="AK90" i="166" s="1"/>
  <c r="AK96" i="166" s="1"/>
  <c r="AM113" i="170"/>
  <c r="AN121" i="174"/>
  <c r="AF47" i="170"/>
  <c r="AG42" i="170" s="1"/>
  <c r="AG40" i="170" s="1"/>
  <c r="AG46" i="170" s="1"/>
  <c r="AG43" i="170" s="1"/>
  <c r="AG41" i="170" s="1"/>
  <c r="AG47" i="170" s="1"/>
  <c r="AH42" i="170" s="1"/>
  <c r="AH40" i="170" s="1"/>
  <c r="AH46" i="170" s="1"/>
  <c r="AH43" i="170" s="1"/>
  <c r="AH41" i="170" s="1"/>
  <c r="AH47" i="170" s="1"/>
  <c r="AI42" i="170" s="1"/>
  <c r="AI40" i="170" s="1"/>
  <c r="AI46" i="170" s="1"/>
  <c r="AI43" i="170" s="1"/>
  <c r="AI41" i="170" s="1"/>
  <c r="AI47" i="170" s="1"/>
  <c r="AJ42" i="170" s="1"/>
  <c r="AJ40" i="170" s="1"/>
  <c r="AJ46" i="170" s="1"/>
  <c r="AJ43" i="170" s="1"/>
  <c r="AJ41" i="170" s="1"/>
  <c r="AJ47" i="170" s="1"/>
  <c r="AK42" i="170" s="1"/>
  <c r="AK40" i="170" s="1"/>
  <c r="AK46" i="170" s="1"/>
  <c r="AK43" i="170" s="1"/>
  <c r="AK41" i="170" s="1"/>
  <c r="AK47" i="170" s="1"/>
  <c r="AL42" i="170" s="1"/>
  <c r="AL40" i="170" s="1"/>
  <c r="AL46" i="170" s="1"/>
  <c r="AL43" i="170" s="1"/>
  <c r="AL41" i="170" s="1"/>
  <c r="AL47" i="170" s="1"/>
  <c r="AM42" i="170" s="1"/>
  <c r="AM40" i="170" s="1"/>
  <c r="AM46" i="170" s="1"/>
  <c r="AM43" i="170" s="1"/>
  <c r="AM41" i="170" s="1"/>
  <c r="AM47" i="170" s="1"/>
  <c r="AN42" i="170" s="1"/>
  <c r="AN40" i="170" s="1"/>
  <c r="AN46" i="170" s="1"/>
  <c r="AN43" i="170" s="1"/>
  <c r="AN41" i="170" s="1"/>
  <c r="AN47" i="170" s="1"/>
  <c r="AO42" i="170" s="1"/>
  <c r="AO40" i="170" s="1"/>
  <c r="AO46" i="170" s="1"/>
  <c r="AO43" i="170" s="1"/>
  <c r="AO41" i="170" s="1"/>
  <c r="AO47" i="170" s="1"/>
  <c r="AK91" i="172"/>
  <c r="AJ81" i="172"/>
  <c r="AK62" i="174"/>
  <c r="AK60" i="174" s="1"/>
  <c r="AK66" i="174" s="1"/>
  <c r="AK63" i="174" s="1"/>
  <c r="AK61" i="174" s="1"/>
  <c r="AK67" i="174" s="1"/>
  <c r="AL62" i="174" s="1"/>
  <c r="AL60" i="174" s="1"/>
  <c r="AL66" i="174" s="1"/>
  <c r="AL63" i="174" s="1"/>
  <c r="AL61" i="174" s="1"/>
  <c r="AL67" i="174" s="1"/>
  <c r="AM62" i="174" s="1"/>
  <c r="AM60" i="174" s="1"/>
  <c r="AM66" i="174" s="1"/>
  <c r="AM63" i="174" s="1"/>
  <c r="AM61" i="174" s="1"/>
  <c r="AM67" i="174" s="1"/>
  <c r="AN62" i="174" s="1"/>
  <c r="AN60" i="174" s="1"/>
  <c r="AN66" i="174" s="1"/>
  <c r="AN63" i="174" s="1"/>
  <c r="AN61" i="174" s="1"/>
  <c r="AN67" i="174" s="1"/>
  <c r="AO62" i="174" s="1"/>
  <c r="AO60" i="174" s="1"/>
  <c r="AO66" i="174" s="1"/>
  <c r="AO63" i="174" s="1"/>
  <c r="AO61" i="174" s="1"/>
  <c r="AO67" i="174" s="1"/>
  <c r="AP62" i="174" s="1"/>
  <c r="AP60" i="174" s="1"/>
  <c r="AP66" i="174" s="1"/>
  <c r="AP63" i="174" s="1"/>
  <c r="AP61" i="174" s="1"/>
  <c r="AP67" i="174" s="1"/>
  <c r="AQ62" i="174" s="1"/>
  <c r="AQ60" i="174" s="1"/>
  <c r="AQ66" i="174" s="1"/>
  <c r="AQ63" i="174" s="1"/>
  <c r="AQ61" i="174" s="1"/>
  <c r="AQ67" i="174" s="1"/>
  <c r="AJ81" i="170"/>
  <c r="AI77" i="166"/>
  <c r="AJ72" i="166" s="1"/>
  <c r="AJ70" i="166" s="1"/>
  <c r="AJ76" i="166" s="1"/>
  <c r="AJ73" i="166" s="1"/>
  <c r="AJ71" i="166" s="1"/>
  <c r="AJ77" i="166" s="1"/>
  <c r="AL107" i="174"/>
  <c r="AM102" i="174" s="1"/>
  <c r="AM100" i="174" s="1"/>
  <c r="AM106" i="174" s="1"/>
  <c r="AM103" i="174" s="1"/>
  <c r="AM101" i="174" s="1"/>
  <c r="AM107" i="174" s="1"/>
  <c r="AH61" i="170"/>
  <c r="AN127" i="168"/>
  <c r="AO122" i="168" s="1"/>
  <c r="AO120" i="168" s="1"/>
  <c r="AO126" i="168" s="1"/>
  <c r="AO123" i="168" s="1"/>
  <c r="AO121" i="168" s="1"/>
  <c r="AO127" i="168" s="1"/>
  <c r="AP122" i="168" s="1"/>
  <c r="AP120" i="168" s="1"/>
  <c r="AP126" i="168" s="1"/>
  <c r="AP123" i="168" s="1"/>
  <c r="AP121" i="168" s="1"/>
  <c r="AP127" i="168" s="1"/>
  <c r="AQ122" i="168" s="1"/>
  <c r="AQ120" i="168" s="1"/>
  <c r="AQ126" i="168" s="1"/>
  <c r="AQ123" i="168" s="1"/>
  <c r="AQ121" i="168" s="1"/>
  <c r="AQ127" i="168" s="1"/>
  <c r="AR122" i="168" s="1"/>
  <c r="AR120" i="168" s="1"/>
  <c r="AR126" i="168" s="1"/>
  <c r="AM117" i="168"/>
  <c r="AN112" i="168" s="1"/>
  <c r="AN110" i="168" s="1"/>
  <c r="AN116" i="168" s="1"/>
  <c r="AD138" i="172"/>
  <c r="AN127" i="170"/>
  <c r="AO122" i="170" s="1"/>
  <c r="AO120" i="170" s="1"/>
  <c r="AO126" i="170" s="1"/>
  <c r="AO123" i="170" s="1"/>
  <c r="AO121" i="170" s="1"/>
  <c r="AO127" i="170" s="1"/>
  <c r="AP122" i="170" s="1"/>
  <c r="AP120" i="170" s="1"/>
  <c r="AP126" i="170" s="1"/>
  <c r="AP123" i="170" s="1"/>
  <c r="AP121" i="170" s="1"/>
  <c r="AP127" i="170" s="1"/>
  <c r="AQ122" i="170" s="1"/>
  <c r="AQ120" i="170" s="1"/>
  <c r="AQ126" i="170" s="1"/>
  <c r="AQ123" i="170" s="1"/>
  <c r="AQ121" i="170" s="1"/>
  <c r="AQ127" i="170" s="1"/>
  <c r="AR122" i="170" s="1"/>
  <c r="AR120" i="170" s="1"/>
  <c r="AR126" i="170" s="1"/>
  <c r="AR123" i="170" s="1"/>
  <c r="AR121" i="170" s="1"/>
  <c r="AR127" i="170" s="1"/>
  <c r="AS122" i="170" s="1"/>
  <c r="AS120" i="170" s="1"/>
  <c r="AS126" i="170" s="1"/>
  <c r="AS123" i="170" s="1"/>
  <c r="AS121" i="170" s="1"/>
  <c r="AS127" i="170" s="1"/>
  <c r="AT122" i="170" s="1"/>
  <c r="AT120" i="170" s="1"/>
  <c r="AT126" i="170" s="1"/>
  <c r="AT123" i="170" s="1"/>
  <c r="AT121" i="170" s="1"/>
  <c r="AT127" i="170" s="1"/>
  <c r="AU122" i="170" s="1"/>
  <c r="AU120" i="170" s="1"/>
  <c r="AU126" i="170" s="1"/>
  <c r="AU123" i="170" s="1"/>
  <c r="AU121" i="170" s="1"/>
  <c r="AU127" i="170" s="1"/>
  <c r="AV122" i="170" s="1"/>
  <c r="AV120" i="170" s="1"/>
  <c r="AV126" i="170" s="1"/>
  <c r="AV123" i="170" s="1"/>
  <c r="AV121" i="170" s="1"/>
  <c r="AV127" i="170" s="1"/>
  <c r="AW122" i="170" s="1"/>
  <c r="AW120" i="170" s="1"/>
  <c r="AW126" i="170" s="1"/>
  <c r="AW123" i="170" s="1"/>
  <c r="AW121" i="170" s="1"/>
  <c r="AW127" i="170" s="1"/>
  <c r="AG51" i="172"/>
  <c r="AF41" i="166"/>
  <c r="AJ43" i="168"/>
  <c r="AJ41" i="168" s="1"/>
  <c r="AJ47" i="168" s="1"/>
  <c r="AK42" i="168" s="1"/>
  <c r="AK40" i="168" s="1"/>
  <c r="AK46" i="168" s="1"/>
  <c r="AK43" i="168" s="1"/>
  <c r="AK41" i="168" s="1"/>
  <c r="AK47" i="168" s="1"/>
  <c r="AL42" i="168" s="1"/>
  <c r="AL40" i="168" s="1"/>
  <c r="AL46" i="168" s="1"/>
  <c r="AL43" i="168" s="1"/>
  <c r="AL41" i="168" s="1"/>
  <c r="AL47" i="168" s="1"/>
  <c r="AM42" i="168" s="1"/>
  <c r="AM40" i="168" s="1"/>
  <c r="AM46" i="168" s="1"/>
  <c r="AM43" i="168" s="1"/>
  <c r="AM41" i="168" s="1"/>
  <c r="AM47" i="168" s="1"/>
  <c r="AN42" i="168" s="1"/>
  <c r="AN40" i="168" s="1"/>
  <c r="AN46" i="168" s="1"/>
  <c r="AN43" i="168" s="1"/>
  <c r="AN41" i="168" s="1"/>
  <c r="AN47" i="168" s="1"/>
  <c r="AO42" i="168" s="1"/>
  <c r="AO40" i="168" s="1"/>
  <c r="AO46" i="168" s="1"/>
  <c r="AO43" i="168" s="1"/>
  <c r="AO41" i="168" s="1"/>
  <c r="AO47" i="168" s="1"/>
  <c r="AS92" i="168"/>
  <c r="AS90" i="168" s="1"/>
  <c r="AS96" i="168" s="1"/>
  <c r="AS93" i="168" s="1"/>
  <c r="AS91" i="168" s="1"/>
  <c r="AS97" i="168" s="1"/>
  <c r="AT92" i="168" s="1"/>
  <c r="AT90" i="168" s="1"/>
  <c r="AT96" i="168" s="1"/>
  <c r="AT93" i="168" s="1"/>
  <c r="AT91" i="168" s="1"/>
  <c r="AT97" i="168" s="1"/>
  <c r="AL73" i="168"/>
  <c r="AL71" i="168" s="1"/>
  <c r="AL77" i="168" s="1"/>
  <c r="AM72" i="168" s="1"/>
  <c r="AM70" i="168" s="1"/>
  <c r="AM76" i="168" s="1"/>
  <c r="AM73" i="168" s="1"/>
  <c r="AM71" i="168" s="1"/>
  <c r="AM77" i="168" s="1"/>
  <c r="AN72" i="168" s="1"/>
  <c r="AN70" i="168" s="1"/>
  <c r="AN76" i="168" s="1"/>
  <c r="AN73" i="168" s="1"/>
  <c r="AN71" i="168" s="1"/>
  <c r="AN77" i="168" s="1"/>
  <c r="AO72" i="168" s="1"/>
  <c r="AO70" i="168" s="1"/>
  <c r="AO76" i="168" s="1"/>
  <c r="AO73" i="168" s="1"/>
  <c r="AO71" i="168" s="1"/>
  <c r="AO77" i="168" s="1"/>
  <c r="AP72" i="168" s="1"/>
  <c r="AP70" i="168" s="1"/>
  <c r="AP76" i="168" s="1"/>
  <c r="AP73" i="168" s="1"/>
  <c r="AP71" i="168" s="1"/>
  <c r="AP77" i="168" s="1"/>
  <c r="AQ72" i="168" s="1"/>
  <c r="AQ70" i="168" s="1"/>
  <c r="AQ76" i="168" s="1"/>
  <c r="AQ73" i="168" s="1"/>
  <c r="AQ71" i="168" s="1"/>
  <c r="AQ77" i="168" s="1"/>
  <c r="AR72" i="168" s="1"/>
  <c r="AR70" i="168" s="1"/>
  <c r="AR76" i="168" s="1"/>
  <c r="AR73" i="168" s="1"/>
  <c r="AR71" i="168" s="1"/>
  <c r="AR77" i="168" s="1"/>
  <c r="AE32" i="174"/>
  <c r="AD134" i="174"/>
  <c r="AK91" i="174"/>
  <c r="AU102" i="168" l="1"/>
  <c r="AU100" i="168" s="1"/>
  <c r="AU106" i="168" s="1"/>
  <c r="AU103" i="168" s="1"/>
  <c r="AU101" i="168" s="1"/>
  <c r="AU107" i="168" s="1"/>
  <c r="AR62" i="174"/>
  <c r="AP42" i="168"/>
  <c r="AQ112" i="174"/>
  <c r="AQ110" i="174" s="1"/>
  <c r="AQ116" i="174" s="1"/>
  <c r="AQ113" i="174" s="1"/>
  <c r="AQ111" i="174" s="1"/>
  <c r="AQ117" i="174" s="1"/>
  <c r="AS72" i="168"/>
  <c r="AI77" i="170"/>
  <c r="AJ72" i="170" s="1"/>
  <c r="AJ70" i="170" s="1"/>
  <c r="AJ76" i="170" s="1"/>
  <c r="AJ73" i="170" s="1"/>
  <c r="AJ71" i="170" s="1"/>
  <c r="AJ77" i="170" s="1"/>
  <c r="AK72" i="170" s="1"/>
  <c r="AK70" i="170" s="1"/>
  <c r="AK76" i="170" s="1"/>
  <c r="AK73" i="170" s="1"/>
  <c r="AK71" i="170" s="1"/>
  <c r="AK77" i="170" s="1"/>
  <c r="AL72" i="170" s="1"/>
  <c r="AL70" i="170" s="1"/>
  <c r="AL76" i="170" s="1"/>
  <c r="AL73" i="170" s="1"/>
  <c r="AL71" i="170" s="1"/>
  <c r="AL77" i="170" s="1"/>
  <c r="AM72" i="170" s="1"/>
  <c r="AM70" i="170" s="1"/>
  <c r="AM76" i="170" s="1"/>
  <c r="AM73" i="170" s="1"/>
  <c r="AM71" i="170" s="1"/>
  <c r="AM77" i="170" s="1"/>
  <c r="AN72" i="170" s="1"/>
  <c r="AN70" i="170" s="1"/>
  <c r="AN76" i="170" s="1"/>
  <c r="AN73" i="170" s="1"/>
  <c r="AN71" i="170" s="1"/>
  <c r="AN77" i="170" s="1"/>
  <c r="AO72" i="170" s="1"/>
  <c r="AO70" i="170" s="1"/>
  <c r="AO76" i="170" s="1"/>
  <c r="AO73" i="170" s="1"/>
  <c r="AO71" i="170" s="1"/>
  <c r="AO77" i="170" s="1"/>
  <c r="AP72" i="170" s="1"/>
  <c r="AP70" i="170" s="1"/>
  <c r="AP76" i="170" s="1"/>
  <c r="AP73" i="170" s="1"/>
  <c r="AP71" i="170" s="1"/>
  <c r="AP77" i="170" s="1"/>
  <c r="AQ72" i="170" s="1"/>
  <c r="AQ70" i="170" s="1"/>
  <c r="AQ76" i="170" s="1"/>
  <c r="AQ73" i="170" s="1"/>
  <c r="AQ71" i="170" s="1"/>
  <c r="AQ77" i="170" s="1"/>
  <c r="AR72" i="170" s="1"/>
  <c r="AR70" i="170" s="1"/>
  <c r="AR76" i="170" s="1"/>
  <c r="AR73" i="170" s="1"/>
  <c r="AR71" i="170" s="1"/>
  <c r="AR77" i="170" s="1"/>
  <c r="AF41" i="172"/>
  <c r="AD134" i="172"/>
  <c r="AE32" i="172"/>
  <c r="AK97" i="172"/>
  <c r="AL92" i="172" s="1"/>
  <c r="AL90" i="172" s="1"/>
  <c r="AL96" i="172" s="1"/>
  <c r="AL93" i="172" s="1"/>
  <c r="AL91" i="172" s="1"/>
  <c r="AL97" i="172" s="1"/>
  <c r="AM92" i="172" s="1"/>
  <c r="AM90" i="172" s="1"/>
  <c r="AM96" i="172" s="1"/>
  <c r="AM93" i="172" s="1"/>
  <c r="AM91" i="172" s="1"/>
  <c r="AM97" i="172" s="1"/>
  <c r="AN92" i="172" s="1"/>
  <c r="AN90" i="172" s="1"/>
  <c r="AN96" i="172" s="1"/>
  <c r="AN93" i="172" s="1"/>
  <c r="AN91" i="172" s="1"/>
  <c r="AN97" i="172" s="1"/>
  <c r="AO92" i="172" s="1"/>
  <c r="AO90" i="172" s="1"/>
  <c r="AO96" i="172" s="1"/>
  <c r="AO93" i="172" s="1"/>
  <c r="AO91" i="172" s="1"/>
  <c r="AO97" i="172" s="1"/>
  <c r="AP92" i="172" s="1"/>
  <c r="AP90" i="172" s="1"/>
  <c r="AP96" i="172" s="1"/>
  <c r="AP93" i="172" s="1"/>
  <c r="AP91" i="172" s="1"/>
  <c r="AP97" i="172" s="1"/>
  <c r="AQ92" i="172" s="1"/>
  <c r="AQ90" i="172" s="1"/>
  <c r="AQ96" i="172" s="1"/>
  <c r="AQ93" i="172" s="1"/>
  <c r="AQ91" i="172" s="1"/>
  <c r="AQ97" i="172" s="1"/>
  <c r="AR92" i="172" s="1"/>
  <c r="AR90" i="172" s="1"/>
  <c r="AR96" i="172" s="1"/>
  <c r="AR93" i="172" s="1"/>
  <c r="AR91" i="172" s="1"/>
  <c r="AR97" i="172" s="1"/>
  <c r="AS92" i="172" s="1"/>
  <c r="AS90" i="172" s="1"/>
  <c r="AS96" i="172" s="1"/>
  <c r="AS93" i="172" s="1"/>
  <c r="AS91" i="172" s="1"/>
  <c r="AS97" i="172" s="1"/>
  <c r="AT92" i="172" s="1"/>
  <c r="AT90" i="172" s="1"/>
  <c r="AT96" i="172" s="1"/>
  <c r="AT93" i="172" s="1"/>
  <c r="AT91" i="172" s="1"/>
  <c r="AT97" i="172" s="1"/>
  <c r="AM111" i="170"/>
  <c r="AM83" i="174"/>
  <c r="AM81" i="174" s="1"/>
  <c r="AM87" i="174" s="1"/>
  <c r="AN82" i="174" s="1"/>
  <c r="AN80" i="174" s="1"/>
  <c r="AN86" i="174" s="1"/>
  <c r="AN83" i="174" s="1"/>
  <c r="AN81" i="174" s="1"/>
  <c r="AN87" i="174" s="1"/>
  <c r="AO82" i="174" s="1"/>
  <c r="AO80" i="174" s="1"/>
  <c r="AO86" i="174" s="1"/>
  <c r="AO83" i="174" s="1"/>
  <c r="AO81" i="174" s="1"/>
  <c r="AO87" i="174" s="1"/>
  <c r="AP82" i="174" s="1"/>
  <c r="AP80" i="174" s="1"/>
  <c r="AP86" i="174" s="1"/>
  <c r="AP83" i="174" s="1"/>
  <c r="AP81" i="174" s="1"/>
  <c r="AP87" i="174" s="1"/>
  <c r="AQ82" i="174" s="1"/>
  <c r="AQ80" i="174" s="1"/>
  <c r="AQ86" i="174" s="1"/>
  <c r="AQ83" i="174" s="1"/>
  <c r="AQ81" i="174" s="1"/>
  <c r="AQ87" i="174" s="1"/>
  <c r="AR82" i="174" s="1"/>
  <c r="AR80" i="174" s="1"/>
  <c r="AR86" i="174" s="1"/>
  <c r="AR83" i="174" s="1"/>
  <c r="AR81" i="174" s="1"/>
  <c r="AR87" i="174" s="1"/>
  <c r="AS82" i="174" s="1"/>
  <c r="AS80" i="174" s="1"/>
  <c r="AS86" i="174" s="1"/>
  <c r="AS83" i="174" s="1"/>
  <c r="AS81" i="174" s="1"/>
  <c r="AS87" i="174" s="1"/>
  <c r="AI52" i="168"/>
  <c r="AI50" i="168" s="1"/>
  <c r="AI56" i="168" s="1"/>
  <c r="AI53" i="168" s="1"/>
  <c r="AI51" i="168" s="1"/>
  <c r="AI57" i="168" s="1"/>
  <c r="AJ52" i="168" s="1"/>
  <c r="AJ50" i="168" s="1"/>
  <c r="AJ56" i="168" s="1"/>
  <c r="AJ53" i="168" s="1"/>
  <c r="AJ51" i="168" s="1"/>
  <c r="AJ57" i="168" s="1"/>
  <c r="AK52" i="168" s="1"/>
  <c r="AK50" i="168" s="1"/>
  <c r="AK56" i="168" s="1"/>
  <c r="AK53" i="168" s="1"/>
  <c r="AK51" i="168" s="1"/>
  <c r="AK57" i="168" s="1"/>
  <c r="AL52" i="168" s="1"/>
  <c r="AL50" i="168" s="1"/>
  <c r="AL56" i="168" s="1"/>
  <c r="AD137" i="172"/>
  <c r="AD133" i="172"/>
  <c r="AN102" i="174"/>
  <c r="AN100" i="174" s="1"/>
  <c r="AN106" i="174" s="1"/>
  <c r="AP42" i="170"/>
  <c r="AN127" i="174"/>
  <c r="AO122" i="174" s="1"/>
  <c r="AO120" i="174" s="1"/>
  <c r="AO126" i="174" s="1"/>
  <c r="AO123" i="174" s="1"/>
  <c r="AO121" i="174" s="1"/>
  <c r="AO127" i="174" s="1"/>
  <c r="AP122" i="174" s="1"/>
  <c r="AP120" i="174" s="1"/>
  <c r="AP126" i="174" s="1"/>
  <c r="AP123" i="174" s="1"/>
  <c r="AP121" i="174" s="1"/>
  <c r="AP127" i="174" s="1"/>
  <c r="AQ122" i="174" s="1"/>
  <c r="AQ120" i="174" s="1"/>
  <c r="AQ126" i="174" s="1"/>
  <c r="AK91" i="170"/>
  <c r="AL63" i="166"/>
  <c r="AL61" i="166" s="1"/>
  <c r="AL67" i="166" s="1"/>
  <c r="AM62" i="166" s="1"/>
  <c r="AM60" i="166" s="1"/>
  <c r="AM66" i="166" s="1"/>
  <c r="AM63" i="166" s="1"/>
  <c r="AM61" i="166" s="1"/>
  <c r="AM67" i="166" s="1"/>
  <c r="AN62" i="166" s="1"/>
  <c r="AN60" i="166" s="1"/>
  <c r="AN66" i="166" s="1"/>
  <c r="AN63" i="166" s="1"/>
  <c r="AN61" i="166" s="1"/>
  <c r="AN67" i="166" s="1"/>
  <c r="AO62" i="166" s="1"/>
  <c r="AO60" i="166" s="1"/>
  <c r="AO66" i="166" s="1"/>
  <c r="AO63" i="166" s="1"/>
  <c r="AO61" i="166" s="1"/>
  <c r="AO67" i="166" s="1"/>
  <c r="AP62" i="166" s="1"/>
  <c r="AP60" i="166" s="1"/>
  <c r="AP66" i="166" s="1"/>
  <c r="AP63" i="166" s="1"/>
  <c r="AP61" i="166" s="1"/>
  <c r="AP67" i="166" s="1"/>
  <c r="AQ62" i="166" s="1"/>
  <c r="AQ60" i="166" s="1"/>
  <c r="AQ66" i="166" s="1"/>
  <c r="AQ63" i="166" s="1"/>
  <c r="AQ61" i="166" s="1"/>
  <c r="AQ67" i="166" s="1"/>
  <c r="AH61" i="172"/>
  <c r="AJ81" i="166"/>
  <c r="AJ87" i="168"/>
  <c r="AK82" i="168" s="1"/>
  <c r="AK80" i="168" s="1"/>
  <c r="AK86" i="168" s="1"/>
  <c r="AK83" i="168" s="1"/>
  <c r="AK81" i="168" s="1"/>
  <c r="AK87" i="168" s="1"/>
  <c r="AL82" i="168" s="1"/>
  <c r="AL80" i="168" s="1"/>
  <c r="AL86" i="168" s="1"/>
  <c r="AL83" i="168" s="1"/>
  <c r="AL81" i="168" s="1"/>
  <c r="AL87" i="168" s="1"/>
  <c r="AM82" i="168" s="1"/>
  <c r="AM80" i="168" s="1"/>
  <c r="AM86" i="168" s="1"/>
  <c r="AM83" i="168" s="1"/>
  <c r="AM81" i="168" s="1"/>
  <c r="AM87" i="168" s="1"/>
  <c r="AN82" i="168" s="1"/>
  <c r="AN80" i="168" s="1"/>
  <c r="AN86" i="168" s="1"/>
  <c r="AU92" i="168"/>
  <c r="AF47" i="166"/>
  <c r="AH67" i="170"/>
  <c r="AI62" i="170" s="1"/>
  <c r="AI60" i="170" s="1"/>
  <c r="AI66" i="170" s="1"/>
  <c r="AI63" i="170" s="1"/>
  <c r="AI61" i="170" s="1"/>
  <c r="AI67" i="170" s="1"/>
  <c r="AJ62" i="170" s="1"/>
  <c r="AJ60" i="170" s="1"/>
  <c r="AJ66" i="170" s="1"/>
  <c r="AJ63" i="170" s="1"/>
  <c r="AJ61" i="170" s="1"/>
  <c r="AJ67" i="170" s="1"/>
  <c r="AK62" i="170" s="1"/>
  <c r="AK60" i="170" s="1"/>
  <c r="AK66" i="170" s="1"/>
  <c r="AK63" i="170" s="1"/>
  <c r="AK61" i="170" s="1"/>
  <c r="AK67" i="170" s="1"/>
  <c r="AL62" i="170" s="1"/>
  <c r="AL60" i="170" s="1"/>
  <c r="AL66" i="170" s="1"/>
  <c r="AL63" i="170" s="1"/>
  <c r="AL61" i="170" s="1"/>
  <c r="AL67" i="170" s="1"/>
  <c r="AM62" i="170" s="1"/>
  <c r="AM60" i="170" s="1"/>
  <c r="AM66" i="170" s="1"/>
  <c r="AM63" i="170" s="1"/>
  <c r="AM61" i="170" s="1"/>
  <c r="AM67" i="170" s="1"/>
  <c r="AN62" i="170" s="1"/>
  <c r="AN60" i="170" s="1"/>
  <c r="AN66" i="170" s="1"/>
  <c r="AN63" i="170" s="1"/>
  <c r="AN61" i="170" s="1"/>
  <c r="AN67" i="170" s="1"/>
  <c r="AG57" i="172"/>
  <c r="AH52" i="172" s="1"/>
  <c r="AH50" i="172" s="1"/>
  <c r="AH56" i="172" s="1"/>
  <c r="AH53" i="172" s="1"/>
  <c r="AH51" i="172" s="1"/>
  <c r="AH57" i="172" s="1"/>
  <c r="AI52" i="172" s="1"/>
  <c r="AI50" i="172" s="1"/>
  <c r="AI56" i="172" s="1"/>
  <c r="AI71" i="174"/>
  <c r="AD134" i="170"/>
  <c r="AE32" i="170"/>
  <c r="AE30" i="168"/>
  <c r="AP53" i="174"/>
  <c r="AP51" i="174" s="1"/>
  <c r="AP57" i="174" s="1"/>
  <c r="AN121" i="166"/>
  <c r="AD139" i="174"/>
  <c r="AM112" i="166"/>
  <c r="AM110" i="166" s="1"/>
  <c r="AM116" i="166" s="1"/>
  <c r="AJ87" i="170"/>
  <c r="AK82" i="170" s="1"/>
  <c r="AK80" i="170" s="1"/>
  <c r="AK86" i="170" s="1"/>
  <c r="AK83" i="170" s="1"/>
  <c r="AK81" i="170" s="1"/>
  <c r="AK87" i="170" s="1"/>
  <c r="AL82" i="170" s="1"/>
  <c r="AL80" i="170" s="1"/>
  <c r="AL86" i="170" s="1"/>
  <c r="AL83" i="170" s="1"/>
  <c r="AL81" i="170" s="1"/>
  <c r="AL87" i="170" s="1"/>
  <c r="AJ87" i="172"/>
  <c r="AK82" i="172" s="1"/>
  <c r="AK80" i="172" s="1"/>
  <c r="AK86" i="172" s="1"/>
  <c r="AD139" i="168"/>
  <c r="AD137" i="170"/>
  <c r="AD133" i="170"/>
  <c r="AD134" i="166"/>
  <c r="AE32" i="166"/>
  <c r="AF47" i="174"/>
  <c r="AG42" i="174" s="1"/>
  <c r="AG40" i="174" s="1"/>
  <c r="AG46" i="174" s="1"/>
  <c r="AG43" i="174" s="1"/>
  <c r="AG41" i="174" s="1"/>
  <c r="AG47" i="174" s="1"/>
  <c r="AH42" i="174" s="1"/>
  <c r="AH40" i="174" s="1"/>
  <c r="AH46" i="174" s="1"/>
  <c r="AX122" i="170"/>
  <c r="AD133" i="166"/>
  <c r="AD137" i="166"/>
  <c r="AL107" i="172"/>
  <c r="AM102" i="172" s="1"/>
  <c r="AM100" i="172" s="1"/>
  <c r="AM106" i="172" s="1"/>
  <c r="AM103" i="172" s="1"/>
  <c r="AM101" i="172" s="1"/>
  <c r="AM107" i="172" s="1"/>
  <c r="AN102" i="172" s="1"/>
  <c r="AN100" i="172" s="1"/>
  <c r="AN106" i="172" s="1"/>
  <c r="AN103" i="172" s="1"/>
  <c r="AN101" i="172" s="1"/>
  <c r="AN107" i="172" s="1"/>
  <c r="AO102" i="172" s="1"/>
  <c r="AO100" i="172" s="1"/>
  <c r="AO106" i="172" s="1"/>
  <c r="AE30" i="174"/>
  <c r="AR123" i="168"/>
  <c r="AR121" i="168" s="1"/>
  <c r="AR127" i="168" s="1"/>
  <c r="AS122" i="168" s="1"/>
  <c r="AS120" i="168" s="1"/>
  <c r="AS126" i="168" s="1"/>
  <c r="AS123" i="168" s="1"/>
  <c r="AS121" i="168" s="1"/>
  <c r="AS127" i="168" s="1"/>
  <c r="AT122" i="168" s="1"/>
  <c r="AT120" i="168" s="1"/>
  <c r="AT126" i="168" s="1"/>
  <c r="AT123" i="168" s="1"/>
  <c r="AT121" i="168" s="1"/>
  <c r="AT127" i="168" s="1"/>
  <c r="AU122" i="168" s="1"/>
  <c r="AU120" i="168" s="1"/>
  <c r="AU126" i="168" s="1"/>
  <c r="AU123" i="168" s="1"/>
  <c r="AU121" i="168" s="1"/>
  <c r="AU127" i="168" s="1"/>
  <c r="AV122" i="168" s="1"/>
  <c r="AV120" i="168" s="1"/>
  <c r="AV126" i="168" s="1"/>
  <c r="AV123" i="168" s="1"/>
  <c r="AV121" i="168" s="1"/>
  <c r="AV127" i="168" s="1"/>
  <c r="AW122" i="168" s="1"/>
  <c r="AW120" i="168" s="1"/>
  <c r="AW126" i="168" s="1"/>
  <c r="AW123" i="168" s="1"/>
  <c r="AW121" i="168" s="1"/>
  <c r="AW127" i="168" s="1"/>
  <c r="AG57" i="170"/>
  <c r="AH52" i="170" s="1"/>
  <c r="AH50" i="170" s="1"/>
  <c r="AH56" i="170" s="1"/>
  <c r="AH53" i="170" s="1"/>
  <c r="AH51" i="170" s="1"/>
  <c r="AH57" i="170" s="1"/>
  <c r="AI52" i="170" s="1"/>
  <c r="AI50" i="170" s="1"/>
  <c r="AI56" i="170" s="1"/>
  <c r="AI53" i="170" s="1"/>
  <c r="AI51" i="170" s="1"/>
  <c r="AI57" i="170" s="1"/>
  <c r="AJ52" i="170" s="1"/>
  <c r="AJ50" i="170" s="1"/>
  <c r="AJ56" i="170" s="1"/>
  <c r="AN72" i="172"/>
  <c r="AN70" i="172" s="1"/>
  <c r="AN76" i="172" s="1"/>
  <c r="AG53" i="166"/>
  <c r="AN123" i="172"/>
  <c r="AI62" i="168"/>
  <c r="AI60" i="168" s="1"/>
  <c r="AI66" i="168" s="1"/>
  <c r="AI63" i="168" s="1"/>
  <c r="AI61" i="168" s="1"/>
  <c r="AI67" i="168" s="1"/>
  <c r="AJ62" i="168" s="1"/>
  <c r="AJ60" i="168" s="1"/>
  <c r="AJ66" i="168" s="1"/>
  <c r="AJ63" i="168" s="1"/>
  <c r="AJ61" i="168" s="1"/>
  <c r="AJ67" i="168" s="1"/>
  <c r="AK62" i="168" s="1"/>
  <c r="AK60" i="168" s="1"/>
  <c r="AK66" i="168" s="1"/>
  <c r="AK63" i="168" s="1"/>
  <c r="AK61" i="168" s="1"/>
  <c r="AK67" i="168" s="1"/>
  <c r="AQ103" i="170"/>
  <c r="AQ101" i="170" s="1"/>
  <c r="AQ107" i="170" s="1"/>
  <c r="AR102" i="170" s="1"/>
  <c r="AR100" i="170" s="1"/>
  <c r="AR106" i="170" s="1"/>
  <c r="AS102" i="166"/>
  <c r="AS100" i="166" s="1"/>
  <c r="AS106" i="166" s="1"/>
  <c r="AS103" i="166" s="1"/>
  <c r="AS101" i="166" s="1"/>
  <c r="AS107" i="166" s="1"/>
  <c r="AT102" i="166" s="1"/>
  <c r="AT100" i="166" s="1"/>
  <c r="AT106" i="166" s="1"/>
  <c r="AT103" i="166" s="1"/>
  <c r="AT101" i="166" s="1"/>
  <c r="AT107" i="166" s="1"/>
  <c r="AU102" i="166" s="1"/>
  <c r="AU100" i="166" s="1"/>
  <c r="AU106" i="166" s="1"/>
  <c r="AU103" i="166" s="1"/>
  <c r="AU101" i="166" s="1"/>
  <c r="AU107" i="166" s="1"/>
  <c r="AV102" i="166" s="1"/>
  <c r="AK97" i="174"/>
  <c r="AL92" i="174" s="1"/>
  <c r="AL90" i="174" s="1"/>
  <c r="AL96" i="174" s="1"/>
  <c r="AL93" i="174" s="1"/>
  <c r="AL91" i="174" s="1"/>
  <c r="AL97" i="174" s="1"/>
  <c r="AM92" i="174" s="1"/>
  <c r="AM90" i="174" s="1"/>
  <c r="AM96" i="174" s="1"/>
  <c r="AM93" i="174" s="1"/>
  <c r="AM91" i="174" s="1"/>
  <c r="AM97" i="174" s="1"/>
  <c r="AN92" i="174" s="1"/>
  <c r="AN90" i="174" s="1"/>
  <c r="AN96" i="174" s="1"/>
  <c r="AN93" i="174" s="1"/>
  <c r="AN91" i="174" s="1"/>
  <c r="AN97" i="174" s="1"/>
  <c r="AO92" i="174" s="1"/>
  <c r="AO90" i="174" s="1"/>
  <c r="AO96" i="174" s="1"/>
  <c r="AN113" i="168"/>
  <c r="AN111" i="168" s="1"/>
  <c r="AN117" i="168" s="1"/>
  <c r="AO112" i="168" s="1"/>
  <c r="AO110" i="168" s="1"/>
  <c r="AO116" i="168" s="1"/>
  <c r="AO113" i="168" s="1"/>
  <c r="AO111" i="168" s="1"/>
  <c r="AO117" i="168" s="1"/>
  <c r="AP112" i="168" s="1"/>
  <c r="AP110" i="168" s="1"/>
  <c r="AP116" i="168" s="1"/>
  <c r="AK72" i="166"/>
  <c r="AK70" i="166" s="1"/>
  <c r="AK76" i="166" s="1"/>
  <c r="AK73" i="166" s="1"/>
  <c r="AK71" i="166" s="1"/>
  <c r="AK77" i="166" s="1"/>
  <c r="AL72" i="166" s="1"/>
  <c r="AL70" i="166" s="1"/>
  <c r="AL76" i="166" s="1"/>
  <c r="AL73" i="166" s="1"/>
  <c r="AL71" i="166" s="1"/>
  <c r="AL77" i="166" s="1"/>
  <c r="AM72" i="166" s="1"/>
  <c r="AM70" i="166" s="1"/>
  <c r="AM76" i="166" s="1"/>
  <c r="AM73" i="166" s="1"/>
  <c r="AM71" i="166" s="1"/>
  <c r="AM77" i="166" s="1"/>
  <c r="AN72" i="166" s="1"/>
  <c r="AN70" i="166" s="1"/>
  <c r="AN76" i="166" s="1"/>
  <c r="AN73" i="166" s="1"/>
  <c r="AN71" i="166" s="1"/>
  <c r="AN77" i="166" s="1"/>
  <c r="AO72" i="166" s="1"/>
  <c r="AO70" i="166" s="1"/>
  <c r="AO76" i="166" s="1"/>
  <c r="AO73" i="166" s="1"/>
  <c r="AO71" i="166" s="1"/>
  <c r="AO77" i="166" s="1"/>
  <c r="AP72" i="166" s="1"/>
  <c r="AP70" i="166" s="1"/>
  <c r="AP76" i="166" s="1"/>
  <c r="AP73" i="166" s="1"/>
  <c r="AP71" i="166" s="1"/>
  <c r="AP77" i="166" s="1"/>
  <c r="AQ72" i="166" s="1"/>
  <c r="AQ70" i="166" s="1"/>
  <c r="AQ76" i="166" s="1"/>
  <c r="AK93" i="166"/>
  <c r="AM117" i="172"/>
  <c r="AN112" i="172" s="1"/>
  <c r="AN110" i="172" s="1"/>
  <c r="AN116" i="172" s="1"/>
  <c r="AN113" i="172" s="1"/>
  <c r="AN111" i="172" s="1"/>
  <c r="AN117" i="172" s="1"/>
  <c r="AO112" i="172" s="1"/>
  <c r="AO110" i="172" s="1"/>
  <c r="AO116" i="172" s="1"/>
  <c r="AO113" i="172" s="1"/>
  <c r="AO111" i="172" s="1"/>
  <c r="AO117" i="172" s="1"/>
  <c r="AP112" i="172" s="1"/>
  <c r="AP110" i="172" s="1"/>
  <c r="AP116" i="172" s="1"/>
  <c r="S40" i="183" l="1"/>
  <c r="S38" i="183"/>
  <c r="AX122" i="168"/>
  <c r="AR62" i="166"/>
  <c r="AL53" i="168"/>
  <c r="AL51" i="168" s="1"/>
  <c r="AL57" i="168" s="1"/>
  <c r="AM52" i="168" s="1"/>
  <c r="AM50" i="168" s="1"/>
  <c r="AM56" i="168" s="1"/>
  <c r="AM53" i="168" s="1"/>
  <c r="AM51" i="168" s="1"/>
  <c r="AM57" i="168" s="1"/>
  <c r="AV102" i="168"/>
  <c r="AQ73" i="166"/>
  <c r="AQ71" i="166" s="1"/>
  <c r="AQ77" i="166" s="1"/>
  <c r="AR72" i="166" s="1"/>
  <c r="AR70" i="166" s="1"/>
  <c r="AR76" i="166" s="1"/>
  <c r="AR73" i="166" s="1"/>
  <c r="AR71" i="166" s="1"/>
  <c r="AR77" i="166" s="1"/>
  <c r="AN103" i="174"/>
  <c r="AN101" i="174" s="1"/>
  <c r="AN107" i="174" s="1"/>
  <c r="AO102" i="174" s="1"/>
  <c r="AO100" i="174" s="1"/>
  <c r="AO106" i="174" s="1"/>
  <c r="AO103" i="174" s="1"/>
  <c r="AO101" i="174" s="1"/>
  <c r="AO107" i="174" s="1"/>
  <c r="AP102" i="174" s="1"/>
  <c r="AP100" i="174" s="1"/>
  <c r="AP106" i="174" s="1"/>
  <c r="AP103" i="174" s="1"/>
  <c r="AP101" i="174" s="1"/>
  <c r="AP107" i="174" s="1"/>
  <c r="AQ102" i="174" s="1"/>
  <c r="AQ100" i="174" s="1"/>
  <c r="AQ106" i="174" s="1"/>
  <c r="AQ103" i="174" s="1"/>
  <c r="AQ101" i="174" s="1"/>
  <c r="AQ107" i="174" s="1"/>
  <c r="AR102" i="174" s="1"/>
  <c r="AR100" i="174" s="1"/>
  <c r="AR106" i="174" s="1"/>
  <c r="AE30" i="166"/>
  <c r="AQ52" i="174"/>
  <c r="AF47" i="172"/>
  <c r="AG42" i="172" s="1"/>
  <c r="AG40" i="172" s="1"/>
  <c r="AG46" i="172" s="1"/>
  <c r="AK83" i="172"/>
  <c r="AK81" i="172" s="1"/>
  <c r="AK87" i="172" s="1"/>
  <c r="AN83" i="168"/>
  <c r="AN81" i="168" s="1"/>
  <c r="AN87" i="168" s="1"/>
  <c r="AS72" i="170"/>
  <c r="B72" i="168"/>
  <c r="AS70" i="168"/>
  <c r="B62" i="174"/>
  <c r="AR60" i="174"/>
  <c r="AX120" i="170"/>
  <c r="B122" i="170"/>
  <c r="AM113" i="166"/>
  <c r="AE30" i="170"/>
  <c r="AG42" i="166"/>
  <c r="AG40" i="166" s="1"/>
  <c r="AG46" i="166" s="1"/>
  <c r="AG43" i="166" s="1"/>
  <c r="AG41" i="166" s="1"/>
  <c r="AG47" i="166" s="1"/>
  <c r="AH42" i="166" s="1"/>
  <c r="AH40" i="166" s="1"/>
  <c r="AH46" i="166" s="1"/>
  <c r="AH43" i="166" s="1"/>
  <c r="AH41" i="166" s="1"/>
  <c r="AH47" i="166" s="1"/>
  <c r="AI42" i="166" s="1"/>
  <c r="AI40" i="166" s="1"/>
  <c r="AI46" i="166" s="1"/>
  <c r="AI43" i="166" s="1"/>
  <c r="AI41" i="166" s="1"/>
  <c r="AI47" i="166" s="1"/>
  <c r="AJ42" i="166" s="1"/>
  <c r="AJ40" i="166" s="1"/>
  <c r="AJ46" i="166" s="1"/>
  <c r="AK97" i="170"/>
  <c r="AR112" i="174"/>
  <c r="AR110" i="174" s="1"/>
  <c r="AR116" i="174" s="1"/>
  <c r="AR113" i="174" s="1"/>
  <c r="AR111" i="174" s="1"/>
  <c r="AR117" i="174" s="1"/>
  <c r="AS112" i="174" s="1"/>
  <c r="AS110" i="174" s="1"/>
  <c r="AS116" i="174" s="1"/>
  <c r="AS113" i="174" s="1"/>
  <c r="AS111" i="174" s="1"/>
  <c r="AS117" i="174" s="1"/>
  <c r="AT112" i="174" s="1"/>
  <c r="AT110" i="174" s="1"/>
  <c r="AT116" i="174" s="1"/>
  <c r="AT113" i="174" s="1"/>
  <c r="AT111" i="174" s="1"/>
  <c r="AT117" i="174" s="1"/>
  <c r="AU112" i="174" s="1"/>
  <c r="AU110" i="174" s="1"/>
  <c r="AU116" i="174" s="1"/>
  <c r="AU113" i="174" s="1"/>
  <c r="AU111" i="174" s="1"/>
  <c r="AU117" i="174" s="1"/>
  <c r="AV112" i="174" s="1"/>
  <c r="AV110" i="174" s="1"/>
  <c r="AV116" i="174" s="1"/>
  <c r="AV113" i="174" s="1"/>
  <c r="AV111" i="174" s="1"/>
  <c r="AV117" i="174" s="1"/>
  <c r="AN73" i="172"/>
  <c r="AN71" i="172" s="1"/>
  <c r="AN77" i="172" s="1"/>
  <c r="AO72" i="172" s="1"/>
  <c r="AO70" i="172" s="1"/>
  <c r="AO76" i="172" s="1"/>
  <c r="AO73" i="172" s="1"/>
  <c r="AO71" i="172" s="1"/>
  <c r="AO77" i="172" s="1"/>
  <c r="AP72" i="172" s="1"/>
  <c r="AP70" i="172" s="1"/>
  <c r="AP76" i="172" s="1"/>
  <c r="AP73" i="172" s="1"/>
  <c r="AP71" i="172" s="1"/>
  <c r="AP77" i="172" s="1"/>
  <c r="AQ72" i="172" s="1"/>
  <c r="AQ70" i="172" s="1"/>
  <c r="AQ76" i="172" s="1"/>
  <c r="AQ73" i="172" s="1"/>
  <c r="AQ71" i="172" s="1"/>
  <c r="AQ77" i="172" s="1"/>
  <c r="AR72" i="172" s="1"/>
  <c r="AR70" i="172" s="1"/>
  <c r="AR76" i="172" s="1"/>
  <c r="AR73" i="172" s="1"/>
  <c r="AR71" i="172" s="1"/>
  <c r="AR77" i="172" s="1"/>
  <c r="AP113" i="172"/>
  <c r="AP111" i="172" s="1"/>
  <c r="AP117" i="172" s="1"/>
  <c r="AL62" i="168"/>
  <c r="AL60" i="168" s="1"/>
  <c r="AL66" i="168" s="1"/>
  <c r="AL63" i="168" s="1"/>
  <c r="AL61" i="168" s="1"/>
  <c r="AL67" i="168" s="1"/>
  <c r="AM62" i="168" s="1"/>
  <c r="AM60" i="168" s="1"/>
  <c r="AM66" i="168" s="1"/>
  <c r="AD139" i="170"/>
  <c r="AM82" i="170"/>
  <c r="AM80" i="170" s="1"/>
  <c r="AM86" i="170" s="1"/>
  <c r="AQ123" i="174"/>
  <c r="AQ121" i="174" s="1"/>
  <c r="AQ127" i="174" s="1"/>
  <c r="AR122" i="174" s="1"/>
  <c r="AR120" i="174" s="1"/>
  <c r="AR126" i="174" s="1"/>
  <c r="AR123" i="174" s="1"/>
  <c r="AR121" i="174" s="1"/>
  <c r="AR127" i="174" s="1"/>
  <c r="AS122" i="174" s="1"/>
  <c r="AS120" i="174" s="1"/>
  <c r="AS126" i="174" s="1"/>
  <c r="AS123" i="174" s="1"/>
  <c r="AS121" i="174" s="1"/>
  <c r="AS127" i="174" s="1"/>
  <c r="AT122" i="174" s="1"/>
  <c r="AT120" i="174" s="1"/>
  <c r="AT126" i="174" s="1"/>
  <c r="AT123" i="174" s="1"/>
  <c r="AT121" i="174" s="1"/>
  <c r="AT127" i="174" s="1"/>
  <c r="AU122" i="174" s="1"/>
  <c r="AU120" i="174" s="1"/>
  <c r="AU126" i="174" s="1"/>
  <c r="AU123" i="174" s="1"/>
  <c r="AU121" i="174" s="1"/>
  <c r="AU127" i="174" s="1"/>
  <c r="AV122" i="174" s="1"/>
  <c r="AV120" i="174" s="1"/>
  <c r="AV126" i="174" s="1"/>
  <c r="AV123" i="174" s="1"/>
  <c r="AV121" i="174" s="1"/>
  <c r="AV127" i="174" s="1"/>
  <c r="AW122" i="174" s="1"/>
  <c r="AW120" i="174" s="1"/>
  <c r="AW126" i="174" s="1"/>
  <c r="AW123" i="174" s="1"/>
  <c r="AW121" i="174" s="1"/>
  <c r="AW127" i="174" s="1"/>
  <c r="AP113" i="168"/>
  <c r="AP111" i="168" s="1"/>
  <c r="AP117" i="168" s="1"/>
  <c r="AQ112" i="168" s="1"/>
  <c r="AQ110" i="168" s="1"/>
  <c r="AQ116" i="168" s="1"/>
  <c r="AQ113" i="168" s="1"/>
  <c r="AQ111" i="168" s="1"/>
  <c r="AQ117" i="168" s="1"/>
  <c r="AO93" i="174"/>
  <c r="AO91" i="174" s="1"/>
  <c r="AO97" i="174" s="1"/>
  <c r="AP92" i="174" s="1"/>
  <c r="AP90" i="174" s="1"/>
  <c r="AP96" i="174" s="1"/>
  <c r="AV100" i="166"/>
  <c r="B102" i="166"/>
  <c r="AH43" i="174"/>
  <c r="AH41" i="174" s="1"/>
  <c r="AH47" i="174" s="1"/>
  <c r="AI42" i="174" s="1"/>
  <c r="AI40" i="174" s="1"/>
  <c r="AI46" i="174" s="1"/>
  <c r="AE36" i="168"/>
  <c r="AI53" i="172"/>
  <c r="AI51" i="172" s="1"/>
  <c r="AI57" i="172" s="1"/>
  <c r="AJ52" i="172" s="1"/>
  <c r="AJ50" i="172" s="1"/>
  <c r="AJ56" i="172" s="1"/>
  <c r="AJ53" i="172" s="1"/>
  <c r="AJ51" i="172" s="1"/>
  <c r="AJ57" i="172" s="1"/>
  <c r="AK52" i="172" s="1"/>
  <c r="AK50" i="172" s="1"/>
  <c r="AK56" i="172" s="1"/>
  <c r="AJ87" i="166"/>
  <c r="AK82" i="166" s="1"/>
  <c r="AK80" i="166" s="1"/>
  <c r="AK86" i="166" s="1"/>
  <c r="AK83" i="166" s="1"/>
  <c r="AK81" i="166" s="1"/>
  <c r="AK87" i="166" s="1"/>
  <c r="AL82" i="166" s="1"/>
  <c r="AL80" i="166" s="1"/>
  <c r="AL86" i="166" s="1"/>
  <c r="AL83" i="166" s="1"/>
  <c r="AL81" i="166" s="1"/>
  <c r="AL87" i="166" s="1"/>
  <c r="AM117" i="170"/>
  <c r="AN112" i="170" s="1"/>
  <c r="AN110" i="170" s="1"/>
  <c r="AN116" i="170" s="1"/>
  <c r="AN113" i="170" s="1"/>
  <c r="AN111" i="170" s="1"/>
  <c r="AN117" i="170" s="1"/>
  <c r="AO112" i="170" s="1"/>
  <c r="AO110" i="170" s="1"/>
  <c r="AO116" i="170" s="1"/>
  <c r="AO113" i="170" s="1"/>
  <c r="AO111" i="170" s="1"/>
  <c r="AO117" i="170" s="1"/>
  <c r="AP112" i="170" s="1"/>
  <c r="AP110" i="170" s="1"/>
  <c r="AP116" i="170" s="1"/>
  <c r="AP113" i="170" s="1"/>
  <c r="AP111" i="170" s="1"/>
  <c r="AP117" i="170" s="1"/>
  <c r="AD139" i="166"/>
  <c r="AI77" i="174"/>
  <c r="AJ72" i="174" s="1"/>
  <c r="AJ70" i="174" s="1"/>
  <c r="AJ76" i="174" s="1"/>
  <c r="AJ73" i="174" s="1"/>
  <c r="AJ71" i="174" s="1"/>
  <c r="AJ77" i="174" s="1"/>
  <c r="AK72" i="174" s="1"/>
  <c r="AK70" i="174" s="1"/>
  <c r="AK76" i="174" s="1"/>
  <c r="AK73" i="174" s="1"/>
  <c r="AK71" i="174" s="1"/>
  <c r="AK77" i="174" s="1"/>
  <c r="AL72" i="174" s="1"/>
  <c r="AL70" i="174" s="1"/>
  <c r="AL76" i="174" s="1"/>
  <c r="AL73" i="174" s="1"/>
  <c r="AL71" i="174" s="1"/>
  <c r="AL77" i="174" s="1"/>
  <c r="AM72" i="174" s="1"/>
  <c r="AM70" i="174" s="1"/>
  <c r="AM76" i="174" s="1"/>
  <c r="AM73" i="174" s="1"/>
  <c r="AM71" i="174" s="1"/>
  <c r="AM77" i="174" s="1"/>
  <c r="AN72" i="174" s="1"/>
  <c r="AN70" i="174" s="1"/>
  <c r="AN76" i="174" s="1"/>
  <c r="AU90" i="168"/>
  <c r="B92" i="168"/>
  <c r="AU92" i="172"/>
  <c r="AE30" i="172"/>
  <c r="AR103" i="170"/>
  <c r="AR101" i="170" s="1"/>
  <c r="AR107" i="170" s="1"/>
  <c r="AS102" i="170" s="1"/>
  <c r="AS100" i="170" s="1"/>
  <c r="AS106" i="170" s="1"/>
  <c r="AS103" i="170" s="1"/>
  <c r="AS101" i="170" s="1"/>
  <c r="AS107" i="170" s="1"/>
  <c r="AT102" i="170" s="1"/>
  <c r="AT100" i="170" s="1"/>
  <c r="AT106" i="170" s="1"/>
  <c r="AT103" i="170" s="1"/>
  <c r="AT101" i="170" s="1"/>
  <c r="AT107" i="170" s="1"/>
  <c r="AU102" i="170" s="1"/>
  <c r="AU100" i="170" s="1"/>
  <c r="AU106" i="170" s="1"/>
  <c r="AU103" i="170" s="1"/>
  <c r="AU101" i="170" s="1"/>
  <c r="AU107" i="170" s="1"/>
  <c r="AE36" i="174"/>
  <c r="AO62" i="170"/>
  <c r="AO60" i="170" s="1"/>
  <c r="AO66" i="170" s="1"/>
  <c r="AO63" i="170" s="1"/>
  <c r="AO61" i="170" s="1"/>
  <c r="AO67" i="170" s="1"/>
  <c r="AP62" i="170" s="1"/>
  <c r="AP60" i="170" s="1"/>
  <c r="AP66" i="170" s="1"/>
  <c r="AH67" i="172"/>
  <c r="AI62" i="172" s="1"/>
  <c r="AI60" i="172" s="1"/>
  <c r="AI66" i="172" s="1"/>
  <c r="AI63" i="172" s="1"/>
  <c r="AI61" i="172" s="1"/>
  <c r="AI67" i="172" s="1"/>
  <c r="B42" i="170"/>
  <c r="AP40" i="170"/>
  <c r="AD139" i="172"/>
  <c r="AT82" i="174"/>
  <c r="AG51" i="166"/>
  <c r="AJ53" i="170"/>
  <c r="AJ51" i="170" s="1"/>
  <c r="AJ57" i="170" s="1"/>
  <c r="AK52" i="170" s="1"/>
  <c r="AK50" i="170" s="1"/>
  <c r="AK56" i="170" s="1"/>
  <c r="AN127" i="166"/>
  <c r="AO122" i="166" s="1"/>
  <c r="AO120" i="166" s="1"/>
  <c r="AO126" i="166" s="1"/>
  <c r="AO123" i="166" s="1"/>
  <c r="AO121" i="166" s="1"/>
  <c r="AO127" i="166" s="1"/>
  <c r="AP122" i="166" s="1"/>
  <c r="AP120" i="166" s="1"/>
  <c r="AP126" i="166" s="1"/>
  <c r="AP123" i="166" s="1"/>
  <c r="AP121" i="166" s="1"/>
  <c r="AP127" i="166" s="1"/>
  <c r="AQ122" i="166" s="1"/>
  <c r="AQ120" i="166" s="1"/>
  <c r="AQ126" i="166" s="1"/>
  <c r="AQ123" i="166" s="1"/>
  <c r="AQ121" i="166" s="1"/>
  <c r="AQ127" i="166" s="1"/>
  <c r="AR122" i="166" s="1"/>
  <c r="AR120" i="166" s="1"/>
  <c r="AR126" i="166" s="1"/>
  <c r="AR123" i="166" s="1"/>
  <c r="AR121" i="166" s="1"/>
  <c r="AR127" i="166" s="1"/>
  <c r="AS122" i="166" s="1"/>
  <c r="AS120" i="166" s="1"/>
  <c r="AS126" i="166" s="1"/>
  <c r="AS123" i="166" s="1"/>
  <c r="AS121" i="166" s="1"/>
  <c r="AS127" i="166" s="1"/>
  <c r="AT122" i="166" s="1"/>
  <c r="AT120" i="166" s="1"/>
  <c r="AT126" i="166" s="1"/>
  <c r="AT123" i="166" s="1"/>
  <c r="AT121" i="166" s="1"/>
  <c r="AT127" i="166" s="1"/>
  <c r="AU122" i="166" s="1"/>
  <c r="AU120" i="166" s="1"/>
  <c r="AU126" i="166" s="1"/>
  <c r="AU123" i="166" s="1"/>
  <c r="AU121" i="166" s="1"/>
  <c r="AU127" i="166" s="1"/>
  <c r="AV122" i="166" s="1"/>
  <c r="AV120" i="166" s="1"/>
  <c r="AV126" i="166" s="1"/>
  <c r="AV123" i="166" s="1"/>
  <c r="AV121" i="166" s="1"/>
  <c r="AV127" i="166" s="1"/>
  <c r="AW122" i="166" s="1"/>
  <c r="AW120" i="166" s="1"/>
  <c r="AW126" i="166" s="1"/>
  <c r="AW123" i="166" s="1"/>
  <c r="AW121" i="166" s="1"/>
  <c r="AW127" i="166" s="1"/>
  <c r="AX122" i="166" s="1"/>
  <c r="AK91" i="166"/>
  <c r="AN121" i="172"/>
  <c r="AO103" i="172"/>
  <c r="AO101" i="172" s="1"/>
  <c r="AO107" i="172"/>
  <c r="AP102" i="172" s="1"/>
  <c r="AP100" i="172" s="1"/>
  <c r="AP106" i="172" s="1"/>
  <c r="AP103" i="172" s="1"/>
  <c r="AP101" i="172" s="1"/>
  <c r="AP107" i="172" s="1"/>
  <c r="AQ102" i="172" s="1"/>
  <c r="AQ100" i="172" s="1"/>
  <c r="AQ106" i="172" s="1"/>
  <c r="AQ103" i="172" s="1"/>
  <c r="AQ101" i="172" s="1"/>
  <c r="AQ107" i="172" s="1"/>
  <c r="AP40" i="168"/>
  <c r="B42" i="168"/>
  <c r="S37" i="183" l="1"/>
  <c r="S18" i="176"/>
  <c r="S35" i="183"/>
  <c r="S36" i="183"/>
  <c r="AI43" i="174"/>
  <c r="AI41" i="174" s="1"/>
  <c r="AI47" i="174" s="1"/>
  <c r="AJ42" i="174" s="1"/>
  <c r="AJ40" i="174" s="1"/>
  <c r="AJ46" i="174" s="1"/>
  <c r="AJ43" i="174" s="1"/>
  <c r="AJ41" i="174" s="1"/>
  <c r="AJ47" i="174" s="1"/>
  <c r="AK42" i="174" s="1"/>
  <c r="AK40" i="174" s="1"/>
  <c r="AK46" i="174" s="1"/>
  <c r="AK43" i="174" s="1"/>
  <c r="AK41" i="174" s="1"/>
  <c r="AK47" i="174" s="1"/>
  <c r="AL42" i="174" s="1"/>
  <c r="AL40" i="174" s="1"/>
  <c r="AL46" i="174" s="1"/>
  <c r="AL43" i="174" s="1"/>
  <c r="AL41" i="174" s="1"/>
  <c r="AL47" i="174" s="1"/>
  <c r="AM42" i="174" s="1"/>
  <c r="AM40" i="174" s="1"/>
  <c r="AM46" i="174" s="1"/>
  <c r="AM43" i="174" s="1"/>
  <c r="AM41" i="174" s="1"/>
  <c r="AM47" i="174" s="1"/>
  <c r="AN42" i="174" s="1"/>
  <c r="AN40" i="174" s="1"/>
  <c r="AN46" i="174" s="1"/>
  <c r="AN43" i="174" s="1"/>
  <c r="AN41" i="174" s="1"/>
  <c r="AN47" i="174" s="1"/>
  <c r="AO42" i="174" s="1"/>
  <c r="AO40" i="174" s="1"/>
  <c r="AO46" i="174" s="1"/>
  <c r="AO43" i="174" s="1"/>
  <c r="AO41" i="174" s="1"/>
  <c r="AO47" i="174" s="1"/>
  <c r="AP42" i="174" s="1"/>
  <c r="AJ43" i="166"/>
  <c r="AJ41" i="166" s="1"/>
  <c r="AJ47" i="166" s="1"/>
  <c r="AK42" i="166" s="1"/>
  <c r="AK40" i="166" s="1"/>
  <c r="AK46" i="166" s="1"/>
  <c r="AK43" i="166" s="1"/>
  <c r="AK41" i="166" s="1"/>
  <c r="AK47" i="166" s="1"/>
  <c r="AL42" i="166" s="1"/>
  <c r="AL40" i="166" s="1"/>
  <c r="AL46" i="166" s="1"/>
  <c r="AL43" i="166" s="1"/>
  <c r="AL41" i="166" s="1"/>
  <c r="AL47" i="166" s="1"/>
  <c r="AM42" i="166" s="1"/>
  <c r="AM40" i="166" s="1"/>
  <c r="AM46" i="166" s="1"/>
  <c r="AM43" i="166" s="1"/>
  <c r="AM41" i="166" s="1"/>
  <c r="AM47" i="166" s="1"/>
  <c r="AN42" i="166" s="1"/>
  <c r="AN40" i="166" s="1"/>
  <c r="AN46" i="166" s="1"/>
  <c r="AN43" i="166" s="1"/>
  <c r="AN41" i="166" s="1"/>
  <c r="AN47" i="166" s="1"/>
  <c r="AO42" i="166" s="1"/>
  <c r="AO40" i="166" s="1"/>
  <c r="AO46" i="166" s="1"/>
  <c r="AO43" i="166" s="1"/>
  <c r="AO41" i="166" s="1"/>
  <c r="AO47" i="166" s="1"/>
  <c r="AP42" i="166" s="1"/>
  <c r="AL82" i="172"/>
  <c r="AL80" i="172" s="1"/>
  <c r="AL86" i="172" s="1"/>
  <c r="AN52" i="168"/>
  <c r="AN50" i="168" s="1"/>
  <c r="AN56" i="168" s="1"/>
  <c r="AN53" i="168" s="1"/>
  <c r="AN51" i="168" s="1"/>
  <c r="AN57" i="168" s="1"/>
  <c r="AO52" i="168" s="1"/>
  <c r="AO50" i="168" s="1"/>
  <c r="AO56" i="168" s="1"/>
  <c r="AO53" i="168" s="1"/>
  <c r="AO51" i="168" s="1"/>
  <c r="AO57" i="168" s="1"/>
  <c r="AP52" i="168" s="1"/>
  <c r="AP50" i="168" s="1"/>
  <c r="AP56" i="168" s="1"/>
  <c r="AP53" i="168" s="1"/>
  <c r="AP51" i="168" s="1"/>
  <c r="AP57" i="168" s="1"/>
  <c r="AW112" i="174"/>
  <c r="AR112" i="168"/>
  <c r="AR110" i="168" s="1"/>
  <c r="AR116" i="168" s="1"/>
  <c r="AR113" i="168" s="1"/>
  <c r="AR111" i="168" s="1"/>
  <c r="AR117" i="168" s="1"/>
  <c r="AS112" i="168" s="1"/>
  <c r="AS110" i="168" s="1"/>
  <c r="AS116" i="168" s="1"/>
  <c r="AS113" i="168" s="1"/>
  <c r="AS111" i="168" s="1"/>
  <c r="AS117" i="168" s="1"/>
  <c r="AT112" i="168" s="1"/>
  <c r="AT110" i="168" s="1"/>
  <c r="AT116" i="168" s="1"/>
  <c r="AT113" i="168" s="1"/>
  <c r="AT111" i="168" s="1"/>
  <c r="AT117" i="168" s="1"/>
  <c r="AU112" i="168" s="1"/>
  <c r="AU110" i="168" s="1"/>
  <c r="AU116" i="168" s="1"/>
  <c r="AU113" i="168" s="1"/>
  <c r="AU111" i="168" s="1"/>
  <c r="AU117" i="168" s="1"/>
  <c r="AV112" i="168" s="1"/>
  <c r="AV110" i="168" s="1"/>
  <c r="AV116" i="168" s="1"/>
  <c r="AV113" i="168" s="1"/>
  <c r="AV111" i="168" s="1"/>
  <c r="AV117" i="168" s="1"/>
  <c r="AM63" i="168"/>
  <c r="AM61" i="168" s="1"/>
  <c r="AM67" i="168" s="1"/>
  <c r="AN62" i="168" s="1"/>
  <c r="AN60" i="168" s="1"/>
  <c r="AN66" i="168" s="1"/>
  <c r="AN63" i="168" s="1"/>
  <c r="AN61" i="168" s="1"/>
  <c r="AN67" i="168" s="1"/>
  <c r="AO62" i="168" s="1"/>
  <c r="AO60" i="168" s="1"/>
  <c r="AO66" i="168" s="1"/>
  <c r="AO82" i="168"/>
  <c r="AO80" i="168" s="1"/>
  <c r="AO86" i="168" s="1"/>
  <c r="AR103" i="174"/>
  <c r="AR101" i="174" s="1"/>
  <c r="AR107" i="174" s="1"/>
  <c r="AS102" i="174" s="1"/>
  <c r="AS100" i="174" s="1"/>
  <c r="AS106" i="174" s="1"/>
  <c r="AS103" i="174" s="1"/>
  <c r="AS101" i="174" s="1"/>
  <c r="AS107" i="174" s="1"/>
  <c r="AT102" i="174" s="1"/>
  <c r="AT100" i="174" s="1"/>
  <c r="AT106" i="174" s="1"/>
  <c r="AX122" i="174"/>
  <c r="AR102" i="172"/>
  <c r="AR100" i="172" s="1"/>
  <c r="AR106" i="172" s="1"/>
  <c r="AR103" i="172" s="1"/>
  <c r="AR101" i="172" s="1"/>
  <c r="AR107" i="172" s="1"/>
  <c r="AS102" i="172" s="1"/>
  <c r="AS100" i="172" s="1"/>
  <c r="AS106" i="172" s="1"/>
  <c r="AS103" i="172" s="1"/>
  <c r="AS101" i="172" s="1"/>
  <c r="AS107" i="172" s="1"/>
  <c r="AT102" i="172" s="1"/>
  <c r="AT100" i="172" s="1"/>
  <c r="AT106" i="172" s="1"/>
  <c r="AT103" i="172" s="1"/>
  <c r="AT101" i="172" s="1"/>
  <c r="AT107" i="172" s="1"/>
  <c r="AU102" i="172" s="1"/>
  <c r="AU100" i="172" s="1"/>
  <c r="AU106" i="172" s="1"/>
  <c r="AU103" i="172" s="1"/>
  <c r="AU101" i="172" s="1"/>
  <c r="AU107" i="172" s="1"/>
  <c r="AJ62" i="172"/>
  <c r="AJ60" i="172" s="1"/>
  <c r="AJ66" i="172" s="1"/>
  <c r="AJ63" i="172" s="1"/>
  <c r="AJ61" i="172" s="1"/>
  <c r="AJ67" i="172" s="1"/>
  <c r="AK62" i="172" s="1"/>
  <c r="AK60" i="172" s="1"/>
  <c r="AK66" i="172" s="1"/>
  <c r="AK63" i="172" s="1"/>
  <c r="AK61" i="172" s="1"/>
  <c r="AK67" i="172" s="1"/>
  <c r="AL62" i="172" s="1"/>
  <c r="AL60" i="172" s="1"/>
  <c r="AL66" i="172" s="1"/>
  <c r="AL63" i="172" s="1"/>
  <c r="AL61" i="172" s="1"/>
  <c r="AL67" i="172" s="1"/>
  <c r="AM62" i="172" s="1"/>
  <c r="AM60" i="172" s="1"/>
  <c r="AM66" i="172" s="1"/>
  <c r="AM63" i="172" s="1"/>
  <c r="AM61" i="172" s="1"/>
  <c r="AM67" i="172" s="1"/>
  <c r="AN62" i="172" s="1"/>
  <c r="AN60" i="172" s="1"/>
  <c r="AN66" i="172" s="1"/>
  <c r="AN63" i="172" s="1"/>
  <c r="AN61" i="172" s="1"/>
  <c r="AN67" i="172" s="1"/>
  <c r="AO62" i="172" s="1"/>
  <c r="AO60" i="172" s="1"/>
  <c r="AO66" i="172" s="1"/>
  <c r="AO63" i="172" s="1"/>
  <c r="AO61" i="172" s="1"/>
  <c r="AO67" i="172" s="1"/>
  <c r="AP62" i="172" s="1"/>
  <c r="AP60" i="172" s="1"/>
  <c r="AP66" i="172" s="1"/>
  <c r="AP63" i="172" s="1"/>
  <c r="AP61" i="172" s="1"/>
  <c r="AP67" i="172" s="1"/>
  <c r="AQ62" i="172" s="1"/>
  <c r="AQ60" i="172" s="1"/>
  <c r="AQ66" i="172" s="1"/>
  <c r="AQ63" i="172" s="1"/>
  <c r="AQ61" i="172" s="1"/>
  <c r="AQ67" i="172" s="1"/>
  <c r="B40" i="168"/>
  <c r="AP46" i="168"/>
  <c r="B40" i="170"/>
  <c r="AP46" i="170"/>
  <c r="B90" i="168"/>
  <c r="AU96" i="168"/>
  <c r="AE36" i="170"/>
  <c r="B60" i="174"/>
  <c r="AR66" i="174"/>
  <c r="AS70" i="170"/>
  <c r="B72" i="170"/>
  <c r="AX120" i="166"/>
  <c r="B122" i="166"/>
  <c r="AN73" i="174"/>
  <c r="AN71" i="174" s="1"/>
  <c r="AN77" i="174" s="1"/>
  <c r="AO72" i="174" s="1"/>
  <c r="AO70" i="174" s="1"/>
  <c r="AO76" i="174" s="1"/>
  <c r="AO73" i="174" s="1"/>
  <c r="AO71" i="174" s="1"/>
  <c r="AO77" i="174" s="1"/>
  <c r="AP72" i="174" s="1"/>
  <c r="AP70" i="174" s="1"/>
  <c r="AP76" i="174" s="1"/>
  <c r="AP73" i="174" s="1"/>
  <c r="AP71" i="174" s="1"/>
  <c r="AP77" i="174" s="1"/>
  <c r="AQ72" i="174" s="1"/>
  <c r="AQ70" i="174" s="1"/>
  <c r="AQ76" i="174" s="1"/>
  <c r="AQ73" i="174" s="1"/>
  <c r="AQ71" i="174" s="1"/>
  <c r="AQ77" i="174" s="1"/>
  <c r="AR72" i="174" s="1"/>
  <c r="AR70" i="174" s="1"/>
  <c r="AR76" i="174" s="1"/>
  <c r="AR73" i="174" s="1"/>
  <c r="AR71" i="174" s="1"/>
  <c r="AR77" i="174" s="1"/>
  <c r="AM82" i="166"/>
  <c r="AM80" i="166" s="1"/>
  <c r="AM86" i="166" s="1"/>
  <c r="AM83" i="166" s="1"/>
  <c r="AM81" i="166" s="1"/>
  <c r="AM87" i="166" s="1"/>
  <c r="AN82" i="166" s="1"/>
  <c r="AN80" i="166" s="1"/>
  <c r="AN86" i="166" s="1"/>
  <c r="AL92" i="170"/>
  <c r="AL90" i="170" s="1"/>
  <c r="AL96" i="170" s="1"/>
  <c r="AL93" i="170" s="1"/>
  <c r="AL91" i="170" s="1"/>
  <c r="AL97" i="170" s="1"/>
  <c r="AM92" i="170" s="1"/>
  <c r="AM90" i="170" s="1"/>
  <c r="AM96" i="170" s="1"/>
  <c r="AM93" i="170" s="1"/>
  <c r="AM91" i="170" s="1"/>
  <c r="AM97" i="170" s="1"/>
  <c r="AN92" i="170" s="1"/>
  <c r="AN90" i="170" s="1"/>
  <c r="AN96" i="170" s="1"/>
  <c r="B120" i="170"/>
  <c r="AX126" i="170"/>
  <c r="AG43" i="172"/>
  <c r="AG41" i="172" s="1"/>
  <c r="AG47" i="172" s="1"/>
  <c r="AH42" i="172" s="1"/>
  <c r="AH40" i="172" s="1"/>
  <c r="AH46" i="172" s="1"/>
  <c r="AH43" i="172" s="1"/>
  <c r="AH41" i="172" s="1"/>
  <c r="AH47" i="172" s="1"/>
  <c r="AI42" i="172" s="1"/>
  <c r="AI40" i="172" s="1"/>
  <c r="AI46" i="172" s="1"/>
  <c r="AS72" i="166"/>
  <c r="AE33" i="174"/>
  <c r="AM83" i="170"/>
  <c r="AM81" i="170" s="1"/>
  <c r="AM87" i="170" s="1"/>
  <c r="AN82" i="170" s="1"/>
  <c r="AN80" i="170" s="1"/>
  <c r="AN86" i="170" s="1"/>
  <c r="AN83" i="170" s="1"/>
  <c r="AN81" i="170" s="1"/>
  <c r="AN87" i="170" s="1"/>
  <c r="AO82" i="170" s="1"/>
  <c r="AO80" i="170" s="1"/>
  <c r="AO86" i="170" s="1"/>
  <c r="AO83" i="170" s="1"/>
  <c r="AO81" i="170" s="1"/>
  <c r="AO87" i="170" s="1"/>
  <c r="AP82" i="170" s="1"/>
  <c r="AP80" i="170" s="1"/>
  <c r="AP86" i="170" s="1"/>
  <c r="AP83" i="170" s="1"/>
  <c r="AP81" i="170" s="1"/>
  <c r="AP87" i="170" s="1"/>
  <c r="AQ82" i="170" s="1"/>
  <c r="AQ80" i="170" s="1"/>
  <c r="AQ86" i="170" s="1"/>
  <c r="AQ83" i="170" s="1"/>
  <c r="AQ81" i="170" s="1"/>
  <c r="AQ87" i="170" s="1"/>
  <c r="AQ112" i="172"/>
  <c r="AQ110" i="172" s="1"/>
  <c r="AQ116" i="172" s="1"/>
  <c r="AQ113" i="172" s="1"/>
  <c r="AQ111" i="172" s="1"/>
  <c r="AQ117" i="172" s="1"/>
  <c r="B70" i="168"/>
  <c r="AS76" i="168"/>
  <c r="AE36" i="166"/>
  <c r="AK53" i="170"/>
  <c r="AK51" i="170" s="1"/>
  <c r="AK57" i="170" s="1"/>
  <c r="AL52" i="170" s="1"/>
  <c r="AL50" i="170" s="1"/>
  <c r="AL56" i="170" s="1"/>
  <c r="AE36" i="172"/>
  <c r="AM111" i="166"/>
  <c r="AP63" i="170"/>
  <c r="AP61" i="170" s="1"/>
  <c r="AP67" i="170" s="1"/>
  <c r="AQ62" i="170" s="1"/>
  <c r="AQ60" i="170" s="1"/>
  <c r="AQ66" i="170" s="1"/>
  <c r="AQ63" i="170" s="1"/>
  <c r="AQ61" i="170" s="1"/>
  <c r="AQ67" i="170" s="1"/>
  <c r="AK53" i="172"/>
  <c r="AK51" i="172" s="1"/>
  <c r="AK57" i="172" s="1"/>
  <c r="AS72" i="172"/>
  <c r="B102" i="168"/>
  <c r="AV100" i="168"/>
  <c r="AR60" i="166"/>
  <c r="B62" i="166"/>
  <c r="AV102" i="170"/>
  <c r="AU90" i="172"/>
  <c r="B92" i="172"/>
  <c r="AQ112" i="170"/>
  <c r="AQ110" i="170" s="1"/>
  <c r="AQ116" i="170" s="1"/>
  <c r="AE33" i="168"/>
  <c r="AV106" i="166"/>
  <c r="B100" i="166"/>
  <c r="AK97" i="166"/>
  <c r="AN127" i="172"/>
  <c r="AO122" i="172" s="1"/>
  <c r="AO120" i="172" s="1"/>
  <c r="AO126" i="172" s="1"/>
  <c r="AO123" i="172" s="1"/>
  <c r="AO121" i="172" s="1"/>
  <c r="AO127" i="172" s="1"/>
  <c r="AP122" i="172" s="1"/>
  <c r="AP120" i="172" s="1"/>
  <c r="AP126" i="172" s="1"/>
  <c r="AP123" i="172" s="1"/>
  <c r="AP121" i="172" s="1"/>
  <c r="AP127" i="172" s="1"/>
  <c r="AQ122" i="172" s="1"/>
  <c r="AQ120" i="172" s="1"/>
  <c r="AQ126" i="172" s="1"/>
  <c r="AQ123" i="172" s="1"/>
  <c r="AQ121" i="172" s="1"/>
  <c r="AQ127" i="172" s="1"/>
  <c r="AR122" i="172" s="1"/>
  <c r="AR120" i="172" s="1"/>
  <c r="AR126" i="172" s="1"/>
  <c r="AR123" i="172" s="1"/>
  <c r="AR121" i="172" s="1"/>
  <c r="AR127" i="172" s="1"/>
  <c r="AS122" i="172" s="1"/>
  <c r="AS120" i="172" s="1"/>
  <c r="AS126" i="172" s="1"/>
  <c r="AT80" i="174"/>
  <c r="B82" i="174"/>
  <c r="AG57" i="166"/>
  <c r="AH52" i="166" s="1"/>
  <c r="AH50" i="166" s="1"/>
  <c r="AH56" i="166" s="1"/>
  <c r="AH53" i="166" s="1"/>
  <c r="AH51" i="166" s="1"/>
  <c r="AH57" i="166" s="1"/>
  <c r="AI52" i="166" s="1"/>
  <c r="AI50" i="166" s="1"/>
  <c r="AI56" i="166" s="1"/>
  <c r="AI53" i="166" s="1"/>
  <c r="AI51" i="166" s="1"/>
  <c r="AI57" i="166" s="1"/>
  <c r="AP93" i="174"/>
  <c r="AP91" i="174" s="1"/>
  <c r="AP97" i="174" s="1"/>
  <c r="AQ92" i="174" s="1"/>
  <c r="AQ90" i="174" s="1"/>
  <c r="AQ96" i="174" s="1"/>
  <c r="AQ93" i="174" s="1"/>
  <c r="AQ91" i="174" s="1"/>
  <c r="AQ97" i="174" s="1"/>
  <c r="B52" i="174"/>
  <c r="AQ50" i="174"/>
  <c r="AX120" i="168"/>
  <c r="B122" i="168"/>
  <c r="S27" i="176" l="1"/>
  <c r="S22" i="176"/>
  <c r="S42" i="183"/>
  <c r="AR82" i="170"/>
  <c r="AR80" i="170" s="1"/>
  <c r="AR86" i="170" s="1"/>
  <c r="AR83" i="170" s="1"/>
  <c r="AR81" i="170" s="1"/>
  <c r="AR87" i="170" s="1"/>
  <c r="AS82" i="170" s="1"/>
  <c r="AS80" i="170" s="1"/>
  <c r="AS86" i="170" s="1"/>
  <c r="AV102" i="172"/>
  <c r="AL83" i="172"/>
  <c r="AL81" i="172" s="1"/>
  <c r="AL87" i="172" s="1"/>
  <c r="AM82" i="172" s="1"/>
  <c r="AM80" i="172" s="1"/>
  <c r="AM86" i="172" s="1"/>
  <c r="AM83" i="172" s="1"/>
  <c r="AM81" i="172" s="1"/>
  <c r="AM87" i="172" s="1"/>
  <c r="AN82" i="172" s="1"/>
  <c r="AN80" i="172" s="1"/>
  <c r="AN86" i="172" s="1"/>
  <c r="AN83" i="172" s="1"/>
  <c r="AN81" i="172" s="1"/>
  <c r="AN87" i="172" s="1"/>
  <c r="AO82" i="172" s="1"/>
  <c r="AO80" i="172" s="1"/>
  <c r="AO86" i="172" s="1"/>
  <c r="AI43" i="172"/>
  <c r="AI41" i="172" s="1"/>
  <c r="AI47" i="172" s="1"/>
  <c r="AJ42" i="172" s="1"/>
  <c r="AJ40" i="172" s="1"/>
  <c r="AJ46" i="172" s="1"/>
  <c r="AR112" i="172"/>
  <c r="AR110" i="172" s="1"/>
  <c r="AR116" i="172" s="1"/>
  <c r="AR113" i="172" s="1"/>
  <c r="AR111" i="172" s="1"/>
  <c r="AR117" i="172" s="1"/>
  <c r="AS112" i="172" s="1"/>
  <c r="AS110" i="172" s="1"/>
  <c r="AS116" i="172" s="1"/>
  <c r="AS113" i="172" s="1"/>
  <c r="AS111" i="172" s="1"/>
  <c r="AS117" i="172" s="1"/>
  <c r="AT112" i="172" s="1"/>
  <c r="AT110" i="172" s="1"/>
  <c r="AT116" i="172" s="1"/>
  <c r="AT113" i="172" s="1"/>
  <c r="AT111" i="172" s="1"/>
  <c r="AT117" i="172" s="1"/>
  <c r="AU112" i="172" s="1"/>
  <c r="AU110" i="172" s="1"/>
  <c r="AU116" i="172" s="1"/>
  <c r="AU113" i="172" s="1"/>
  <c r="AU111" i="172" s="1"/>
  <c r="AU117" i="172" s="1"/>
  <c r="AV112" i="172" s="1"/>
  <c r="AV110" i="172" s="1"/>
  <c r="AV116" i="172" s="1"/>
  <c r="AV113" i="172" s="1"/>
  <c r="AV111" i="172" s="1"/>
  <c r="AV117" i="172" s="1"/>
  <c r="AL53" i="170"/>
  <c r="AL51" i="170" s="1"/>
  <c r="AL57" i="170" s="1"/>
  <c r="AM52" i="170" s="1"/>
  <c r="AM50" i="170" s="1"/>
  <c r="AM56" i="170" s="1"/>
  <c r="AM53" i="170" s="1"/>
  <c r="AM51" i="170" s="1"/>
  <c r="AM57" i="170" s="1"/>
  <c r="AN52" i="170" s="1"/>
  <c r="AN50" i="170" s="1"/>
  <c r="AN56" i="170" s="1"/>
  <c r="AN53" i="170" s="1"/>
  <c r="AN51" i="170" s="1"/>
  <c r="AN57" i="170" s="1"/>
  <c r="AO52" i="170" s="1"/>
  <c r="AO50" i="170" s="1"/>
  <c r="AO56" i="170" s="1"/>
  <c r="AO53" i="170" s="1"/>
  <c r="AO51" i="170" s="1"/>
  <c r="AO57" i="170" s="1"/>
  <c r="AP52" i="170" s="1"/>
  <c r="AP50" i="170" s="1"/>
  <c r="AP56" i="170" s="1"/>
  <c r="AP53" i="170" s="1"/>
  <c r="AP51" i="170" s="1"/>
  <c r="AP57" i="170" s="1"/>
  <c r="B72" i="172"/>
  <c r="AS70" i="172"/>
  <c r="AL52" i="172"/>
  <c r="AL50" i="172" s="1"/>
  <c r="AL56" i="172" s="1"/>
  <c r="AL53" i="172" s="1"/>
  <c r="AL51" i="172" s="1"/>
  <c r="AL57" i="172" s="1"/>
  <c r="AM52" i="172" s="1"/>
  <c r="AM50" i="172" s="1"/>
  <c r="AM56" i="172" s="1"/>
  <c r="AM53" i="172" s="1"/>
  <c r="AM51" i="172" s="1"/>
  <c r="AM57" i="172" s="1"/>
  <c r="AN52" i="172" s="1"/>
  <c r="AN50" i="172" s="1"/>
  <c r="AN56" i="172" s="1"/>
  <c r="AN53" i="172" s="1"/>
  <c r="AN51" i="172" s="1"/>
  <c r="AN57" i="172" s="1"/>
  <c r="AO52" i="172" s="1"/>
  <c r="AO50" i="172" s="1"/>
  <c r="AO56" i="172" s="1"/>
  <c r="AO53" i="172" s="1"/>
  <c r="AO51" i="172" s="1"/>
  <c r="AO57" i="172" s="1"/>
  <c r="AP52" i="172" s="1"/>
  <c r="AP50" i="172" s="1"/>
  <c r="AP56" i="172" s="1"/>
  <c r="AP53" i="172" s="1"/>
  <c r="AP51" i="172" s="1"/>
  <c r="AP57" i="172" s="1"/>
  <c r="AS73" i="168"/>
  <c r="B76" i="168"/>
  <c r="AP43" i="168"/>
  <c r="B46" i="168"/>
  <c r="AL92" i="166"/>
  <c r="AL90" i="166" s="1"/>
  <c r="AL96" i="166" s="1"/>
  <c r="AL93" i="166" s="1"/>
  <c r="AL91" i="166" s="1"/>
  <c r="AL97" i="166" s="1"/>
  <c r="AE31" i="168"/>
  <c r="AE132" i="168"/>
  <c r="AE138" i="168" s="1"/>
  <c r="AR92" i="174"/>
  <c r="AR90" i="174" s="1"/>
  <c r="AR96" i="174" s="1"/>
  <c r="AR93" i="174" s="1"/>
  <c r="AR91" i="174" s="1"/>
  <c r="AR97" i="174" s="1"/>
  <c r="AS92" i="174" s="1"/>
  <c r="AS90" i="174" s="1"/>
  <c r="AS96" i="174" s="1"/>
  <c r="AQ113" i="170"/>
  <c r="AQ111" i="170" s="1"/>
  <c r="AQ117" i="170" s="1"/>
  <c r="AR112" i="170" s="1"/>
  <c r="AR110" i="170" s="1"/>
  <c r="AR116" i="170" s="1"/>
  <c r="AR113" i="170" s="1"/>
  <c r="AR111" i="170" s="1"/>
  <c r="AR117" i="170" s="1"/>
  <c r="AS112" i="170" s="1"/>
  <c r="AS110" i="170" s="1"/>
  <c r="AS116" i="170" s="1"/>
  <c r="AS113" i="170" s="1"/>
  <c r="AS111" i="170" s="1"/>
  <c r="AS117" i="170" s="1"/>
  <c r="AT112" i="170" s="1"/>
  <c r="AT110" i="170" s="1"/>
  <c r="AT116" i="170" s="1"/>
  <c r="AT113" i="170" s="1"/>
  <c r="AT111" i="170" s="1"/>
  <c r="AT117" i="170" s="1"/>
  <c r="AU112" i="170" s="1"/>
  <c r="AU110" i="170" s="1"/>
  <c r="AU116" i="170" s="1"/>
  <c r="AU113" i="170" s="1"/>
  <c r="AU111" i="170" s="1"/>
  <c r="AU117" i="170" s="1"/>
  <c r="AV112" i="170" s="1"/>
  <c r="AV110" i="170" s="1"/>
  <c r="AV116" i="170" s="1"/>
  <c r="AV113" i="170" s="1"/>
  <c r="AV111" i="170" s="1"/>
  <c r="AV117" i="170" s="1"/>
  <c r="AV100" i="170"/>
  <c r="B102" i="170"/>
  <c r="AE31" i="174"/>
  <c r="AE132" i="174"/>
  <c r="AE138" i="174" s="1"/>
  <c r="AN93" i="170"/>
  <c r="AN91" i="170" s="1"/>
  <c r="AN97" i="170" s="1"/>
  <c r="AN83" i="166"/>
  <c r="AN81" i="166" s="1"/>
  <c r="AN87" i="166" s="1"/>
  <c r="AX126" i="166"/>
  <c r="B120" i="166"/>
  <c r="AX120" i="174"/>
  <c r="B122" i="174"/>
  <c r="AP40" i="166"/>
  <c r="B42" i="166"/>
  <c r="B50" i="174"/>
  <c r="AQ56" i="174"/>
  <c r="AM117" i="166"/>
  <c r="AN112" i="166" s="1"/>
  <c r="AN110" i="166" s="1"/>
  <c r="AN116" i="166" s="1"/>
  <c r="AN113" i="166" s="1"/>
  <c r="AN111" i="166" s="1"/>
  <c r="AN117" i="166" s="1"/>
  <c r="AO112" i="166" s="1"/>
  <c r="AO110" i="166" s="1"/>
  <c r="AO116" i="166" s="1"/>
  <c r="AO113" i="166" s="1"/>
  <c r="AO111" i="166" s="1"/>
  <c r="AO117" i="166" s="1"/>
  <c r="AP112" i="166" s="1"/>
  <c r="AP110" i="166" s="1"/>
  <c r="AP116" i="166" s="1"/>
  <c r="AP113" i="166" s="1"/>
  <c r="AP111" i="166" s="1"/>
  <c r="AP117" i="166" s="1"/>
  <c r="AQ112" i="166" s="1"/>
  <c r="AQ110" i="166" s="1"/>
  <c r="AQ116" i="166" s="1"/>
  <c r="AQ113" i="166" s="1"/>
  <c r="AQ111" i="166" s="1"/>
  <c r="AQ117" i="166" s="1"/>
  <c r="AR112" i="166" s="1"/>
  <c r="AR110" i="166" s="1"/>
  <c r="AR116" i="166" s="1"/>
  <c r="AR113" i="166" s="1"/>
  <c r="AR111" i="166" s="1"/>
  <c r="AR117" i="166" s="1"/>
  <c r="AS112" i="166" s="1"/>
  <c r="AS110" i="166" s="1"/>
  <c r="AS116" i="166" s="1"/>
  <c r="AS113" i="166" s="1"/>
  <c r="AS111" i="166" s="1"/>
  <c r="AS117" i="166" s="1"/>
  <c r="AT112" i="166" s="1"/>
  <c r="AT110" i="166" s="1"/>
  <c r="AT116" i="166" s="1"/>
  <c r="AT113" i="166" s="1"/>
  <c r="AT111" i="166" s="1"/>
  <c r="AT117" i="166" s="1"/>
  <c r="AU112" i="166" s="1"/>
  <c r="AU110" i="166" s="1"/>
  <c r="AU116" i="166" s="1"/>
  <c r="AU113" i="166" s="1"/>
  <c r="AU111" i="166" s="1"/>
  <c r="AU117" i="166" s="1"/>
  <c r="AP43" i="170"/>
  <c r="B46" i="170"/>
  <c r="AR62" i="172"/>
  <c r="AT103" i="174"/>
  <c r="AT101" i="174" s="1"/>
  <c r="AT107" i="174" s="1"/>
  <c r="AU102" i="174" s="1"/>
  <c r="AU100" i="174" s="1"/>
  <c r="AU106" i="174" s="1"/>
  <c r="AU103" i="174" s="1"/>
  <c r="AU101" i="174" s="1"/>
  <c r="AU107" i="174" s="1"/>
  <c r="B60" i="166"/>
  <c r="AR66" i="166"/>
  <c r="AR62" i="170"/>
  <c r="AE33" i="166"/>
  <c r="AS72" i="174"/>
  <c r="AR63" i="174"/>
  <c r="B66" i="174"/>
  <c r="AO63" i="168"/>
  <c r="AO61" i="168" s="1"/>
  <c r="AO67" i="168" s="1"/>
  <c r="AP62" i="168" s="1"/>
  <c r="AP60" i="168" s="1"/>
  <c r="AP66" i="168" s="1"/>
  <c r="AP63" i="168" s="1"/>
  <c r="AP61" i="168" s="1"/>
  <c r="AP67" i="168" s="1"/>
  <c r="AQ62" i="168" s="1"/>
  <c r="AQ60" i="168" s="1"/>
  <c r="AQ66" i="168" s="1"/>
  <c r="AQ63" i="168" s="1"/>
  <c r="AQ61" i="168" s="1"/>
  <c r="AQ67" i="168" s="1"/>
  <c r="B120" i="168"/>
  <c r="AX126" i="168"/>
  <c r="B80" i="174"/>
  <c r="AT86" i="174"/>
  <c r="B90" i="172"/>
  <c r="AU96" i="172"/>
  <c r="B112" i="174"/>
  <c r="AW110" i="174"/>
  <c r="AV103" i="166"/>
  <c r="B106" i="166"/>
  <c r="B100" i="168"/>
  <c r="AV106" i="168"/>
  <c r="AE33" i="172"/>
  <c r="AS70" i="166"/>
  <c r="B72" i="166"/>
  <c r="AX123" i="170"/>
  <c r="B126" i="170"/>
  <c r="B70" i="170"/>
  <c r="AS76" i="170"/>
  <c r="AU93" i="168"/>
  <c r="B96" i="168"/>
  <c r="AO83" i="168"/>
  <c r="AO81" i="168" s="1"/>
  <c r="AO87" i="168" s="1"/>
  <c r="AP82" i="168" s="1"/>
  <c r="AP80" i="168" s="1"/>
  <c r="AP86" i="168" s="1"/>
  <c r="AP83" i="168" s="1"/>
  <c r="AP81" i="168" s="1"/>
  <c r="AP87" i="168" s="1"/>
  <c r="AQ82" i="168" s="1"/>
  <c r="AQ80" i="168" s="1"/>
  <c r="AQ86" i="168" s="1"/>
  <c r="AQ83" i="168" s="1"/>
  <c r="AQ81" i="168" s="1"/>
  <c r="AQ87" i="168" s="1"/>
  <c r="AR82" i="168" s="1"/>
  <c r="AR80" i="168" s="1"/>
  <c r="AR86" i="168" s="1"/>
  <c r="AR83" i="168" s="1"/>
  <c r="AR81" i="168" s="1"/>
  <c r="AR87" i="168" s="1"/>
  <c r="AS82" i="168" s="1"/>
  <c r="AS80" i="168" s="1"/>
  <c r="AS86" i="168" s="1"/>
  <c r="AS83" i="168" s="1"/>
  <c r="AS81" i="168" s="1"/>
  <c r="AS87" i="168" s="1"/>
  <c r="AW112" i="168"/>
  <c r="AQ52" i="168"/>
  <c r="AP40" i="174"/>
  <c r="B42" i="174"/>
  <c r="AJ52" i="166"/>
  <c r="AJ50" i="166" s="1"/>
  <c r="AJ56" i="166" s="1"/>
  <c r="AJ53" i="166" s="1"/>
  <c r="AJ51" i="166" s="1"/>
  <c r="AJ57" i="166" s="1"/>
  <c r="AS123" i="172"/>
  <c r="AS121" i="172" s="1"/>
  <c r="AS127" i="172" s="1"/>
  <c r="AT122" i="172" s="1"/>
  <c r="AT120" i="172" s="1"/>
  <c r="AT126" i="172" s="1"/>
  <c r="AT123" i="172" s="1"/>
  <c r="AT121" i="172" s="1"/>
  <c r="AT127" i="172" s="1"/>
  <c r="AU122" i="172" s="1"/>
  <c r="AU120" i="172" s="1"/>
  <c r="AU126" i="172" s="1"/>
  <c r="AU123" i="172" s="1"/>
  <c r="AU121" i="172" s="1"/>
  <c r="AU127" i="172" s="1"/>
  <c r="AV122" i="172" s="1"/>
  <c r="AV120" i="172" s="1"/>
  <c r="AV126" i="172" s="1"/>
  <c r="AV123" i="172" s="1"/>
  <c r="AV121" i="172" s="1"/>
  <c r="AV127" i="172" s="1"/>
  <c r="AW122" i="172" s="1"/>
  <c r="AW120" i="172" s="1"/>
  <c r="AW126" i="172" s="1"/>
  <c r="AW123" i="172" s="1"/>
  <c r="AW121" i="172" s="1"/>
  <c r="AW127" i="172" s="1"/>
  <c r="AE33" i="170"/>
  <c r="S29" i="176" l="1"/>
  <c r="AX122" i="172"/>
  <c r="AV102" i="174"/>
  <c r="AO83" i="172"/>
  <c r="AO81" i="172" s="1"/>
  <c r="AO87" i="172" s="1"/>
  <c r="AP82" i="172" s="1"/>
  <c r="AP80" i="172" s="1"/>
  <c r="AP86" i="172" s="1"/>
  <c r="AP83" i="172" s="1"/>
  <c r="AP81" i="172" s="1"/>
  <c r="AP87" i="172" s="1"/>
  <c r="AQ82" i="172" s="1"/>
  <c r="AQ80" i="172" s="1"/>
  <c r="AQ86" i="172" s="1"/>
  <c r="AQ83" i="172" s="1"/>
  <c r="AQ81" i="172" s="1"/>
  <c r="AQ87" i="172" s="1"/>
  <c r="AR82" i="172" s="1"/>
  <c r="AR80" i="172" s="1"/>
  <c r="AR86" i="172" s="1"/>
  <c r="AK52" i="166"/>
  <c r="AK50" i="166" s="1"/>
  <c r="AK56" i="166" s="1"/>
  <c r="AK53" i="166" s="1"/>
  <c r="AK51" i="166" s="1"/>
  <c r="AK57" i="166" s="1"/>
  <c r="AL52" i="166" s="1"/>
  <c r="AL50" i="166" s="1"/>
  <c r="AL56" i="166" s="1"/>
  <c r="AW112" i="172"/>
  <c r="AO92" i="170"/>
  <c r="AO90" i="170" s="1"/>
  <c r="AO96" i="170" s="1"/>
  <c r="AO93" i="170" s="1"/>
  <c r="AO91" i="170" s="1"/>
  <c r="AO97" i="170" s="1"/>
  <c r="AP92" i="170" s="1"/>
  <c r="AP90" i="170" s="1"/>
  <c r="AP96" i="170" s="1"/>
  <c r="AP93" i="170" s="1"/>
  <c r="AP91" i="170" s="1"/>
  <c r="AP97" i="170" s="1"/>
  <c r="AQ92" i="170" s="1"/>
  <c r="AQ90" i="170" s="1"/>
  <c r="AQ96" i="170" s="1"/>
  <c r="AQ93" i="170" s="1"/>
  <c r="AQ91" i="170" s="1"/>
  <c r="AQ97" i="170" s="1"/>
  <c r="AR92" i="170" s="1"/>
  <c r="AR90" i="170" s="1"/>
  <c r="AR96" i="170" s="1"/>
  <c r="AR93" i="170" s="1"/>
  <c r="AR91" i="170" s="1"/>
  <c r="AR97" i="170" s="1"/>
  <c r="AS92" i="170" s="1"/>
  <c r="AS90" i="170" s="1"/>
  <c r="AS96" i="170" s="1"/>
  <c r="AT82" i="168"/>
  <c r="AS73" i="170"/>
  <c r="B76" i="170"/>
  <c r="AV103" i="168"/>
  <c r="B106" i="168"/>
  <c r="B110" i="174"/>
  <c r="AW116" i="174"/>
  <c r="AE31" i="166"/>
  <c r="AE132" i="166"/>
  <c r="AE138" i="166" s="1"/>
  <c r="AE131" i="174"/>
  <c r="AE37" i="174"/>
  <c r="B100" i="170"/>
  <c r="AV106" i="170"/>
  <c r="B70" i="166"/>
  <c r="AS76" i="166"/>
  <c r="AR62" i="168"/>
  <c r="AP41" i="170"/>
  <c r="B43" i="170"/>
  <c r="AX123" i="166"/>
  <c r="B126" i="166"/>
  <c r="AS71" i="168"/>
  <c r="B73" i="168"/>
  <c r="AQ52" i="170"/>
  <c r="AV112" i="166"/>
  <c r="AV110" i="166" s="1"/>
  <c r="AV116" i="166" s="1"/>
  <c r="AV113" i="166" s="1"/>
  <c r="AV111" i="166" s="1"/>
  <c r="AV117" i="166" s="1"/>
  <c r="AW112" i="166" s="1"/>
  <c r="AQ53" i="174"/>
  <c r="B56" i="174"/>
  <c r="AJ43" i="172"/>
  <c r="AJ41" i="172" s="1"/>
  <c r="AJ47" i="172" s="1"/>
  <c r="AK42" i="172" s="1"/>
  <c r="AK40" i="172" s="1"/>
  <c r="AK46" i="172" s="1"/>
  <c r="AK43" i="172" s="1"/>
  <c r="AK41" i="172" s="1"/>
  <c r="AK47" i="172" s="1"/>
  <c r="AL42" i="172" s="1"/>
  <c r="AL40" i="172" s="1"/>
  <c r="AL46" i="172" s="1"/>
  <c r="AL43" i="172" s="1"/>
  <c r="AL41" i="172" s="1"/>
  <c r="AL47" i="172" s="1"/>
  <c r="AM42" i="172" s="1"/>
  <c r="AM40" i="172" s="1"/>
  <c r="AM46" i="172" s="1"/>
  <c r="AM43" i="172" s="1"/>
  <c r="AM41" i="172" s="1"/>
  <c r="AM47" i="172" s="1"/>
  <c r="AN42" i="172" s="1"/>
  <c r="AN40" i="172" s="1"/>
  <c r="AN46" i="172" s="1"/>
  <c r="AN43" i="172" s="1"/>
  <c r="AN41" i="172" s="1"/>
  <c r="AN47" i="172" s="1"/>
  <c r="AO42" i="172" s="1"/>
  <c r="AO40" i="172" s="1"/>
  <c r="AO46" i="172" s="1"/>
  <c r="AO43" i="172" s="1"/>
  <c r="AO41" i="172" s="1"/>
  <c r="AO47" i="172" s="1"/>
  <c r="AP42" i="172" s="1"/>
  <c r="AP46" i="174"/>
  <c r="B40" i="174"/>
  <c r="AT83" i="174"/>
  <c r="B86" i="174"/>
  <c r="B120" i="174"/>
  <c r="AX126" i="174"/>
  <c r="AO82" i="166"/>
  <c r="AO80" i="166" s="1"/>
  <c r="AO86" i="166" s="1"/>
  <c r="AO83" i="166" s="1"/>
  <c r="AO81" i="166" s="1"/>
  <c r="AO87" i="166" s="1"/>
  <c r="AP82" i="166" s="1"/>
  <c r="AP80" i="166" s="1"/>
  <c r="AP86" i="166" s="1"/>
  <c r="AP83" i="166" s="1"/>
  <c r="AP81" i="166" s="1"/>
  <c r="AP87" i="166" s="1"/>
  <c r="AQ82" i="166" s="1"/>
  <c r="AQ80" i="166" s="1"/>
  <c r="AQ86" i="166" s="1"/>
  <c r="AQ83" i="166" s="1"/>
  <c r="AQ81" i="166" s="1"/>
  <c r="AQ87" i="166" s="1"/>
  <c r="AR82" i="166" s="1"/>
  <c r="AR80" i="166" s="1"/>
  <c r="AR86" i="166" s="1"/>
  <c r="AR83" i="166" s="1"/>
  <c r="AR81" i="166" s="1"/>
  <c r="AR87" i="166" s="1"/>
  <c r="AS82" i="166" s="1"/>
  <c r="AS80" i="166" s="1"/>
  <c r="AS86" i="166" s="1"/>
  <c r="AS83" i="166" s="1"/>
  <c r="AS81" i="166" s="1"/>
  <c r="AS87" i="166" s="1"/>
  <c r="AT82" i="166" s="1"/>
  <c r="AW112" i="170"/>
  <c r="AM92" i="166"/>
  <c r="AM90" i="166" s="1"/>
  <c r="AM96" i="166" s="1"/>
  <c r="AM93" i="166" s="1"/>
  <c r="AM91" i="166" s="1"/>
  <c r="AM97" i="166" s="1"/>
  <c r="AN92" i="166" s="1"/>
  <c r="AN90" i="166" s="1"/>
  <c r="AN96" i="166" s="1"/>
  <c r="AN93" i="166" s="1"/>
  <c r="AN91" i="166" s="1"/>
  <c r="AN97" i="166" s="1"/>
  <c r="AE31" i="170"/>
  <c r="AE132" i="170"/>
  <c r="AE138" i="170" s="1"/>
  <c r="AV101" i="166"/>
  <c r="B103" i="166"/>
  <c r="AQ52" i="172"/>
  <c r="AQ50" i="168"/>
  <c r="B52" i="168"/>
  <c r="AU93" i="172"/>
  <c r="B96" i="172"/>
  <c r="AR61" i="174"/>
  <c r="B63" i="174"/>
  <c r="AP41" i="168"/>
  <c r="B43" i="168"/>
  <c r="AV100" i="172"/>
  <c r="B102" i="172"/>
  <c r="AX123" i="168"/>
  <c r="B126" i="168"/>
  <c r="AR60" i="170"/>
  <c r="B62" i="170"/>
  <c r="AR60" i="172"/>
  <c r="B62" i="172"/>
  <c r="AS93" i="174"/>
  <c r="AS91" i="174" s="1"/>
  <c r="AS97" i="174" s="1"/>
  <c r="AT92" i="174" s="1"/>
  <c r="AT90" i="174" s="1"/>
  <c r="AT96" i="174" s="1"/>
  <c r="AT93" i="174" s="1"/>
  <c r="AT91" i="174" s="1"/>
  <c r="AT97" i="174" s="1"/>
  <c r="B70" i="172"/>
  <c r="AS76" i="172"/>
  <c r="AS83" i="170"/>
  <c r="AS81" i="170" s="1"/>
  <c r="AS87" i="170" s="1"/>
  <c r="AW110" i="168"/>
  <c r="B112" i="168"/>
  <c r="AU91" i="168"/>
  <c r="B93" i="168"/>
  <c r="AX121" i="170"/>
  <c r="B123" i="170"/>
  <c r="AE31" i="172"/>
  <c r="AE132" i="172"/>
  <c r="AE138" i="172" s="1"/>
  <c r="AS70" i="174"/>
  <c r="B72" i="174"/>
  <c r="AR63" i="166"/>
  <c r="B66" i="166"/>
  <c r="AP46" i="166"/>
  <c r="B40" i="166"/>
  <c r="AE131" i="168"/>
  <c r="AE37" i="168"/>
  <c r="AL53" i="166" l="1"/>
  <c r="AL51" i="166" s="1"/>
  <c r="AL57" i="166" s="1"/>
  <c r="AM52" i="166" s="1"/>
  <c r="AM50" i="166" s="1"/>
  <c r="AM56" i="166" s="1"/>
  <c r="AM53" i="166" s="1"/>
  <c r="AM51" i="166" s="1"/>
  <c r="AM57" i="166" s="1"/>
  <c r="AN52" i="166" s="1"/>
  <c r="AN50" i="166" s="1"/>
  <c r="AN56" i="166" s="1"/>
  <c r="AN53" i="166" s="1"/>
  <c r="AN51" i="166" s="1"/>
  <c r="AN57" i="166" s="1"/>
  <c r="AO52" i="166" s="1"/>
  <c r="AO50" i="166" s="1"/>
  <c r="AO56" i="166" s="1"/>
  <c r="AO53" i="166" s="1"/>
  <c r="AO51" i="166" s="1"/>
  <c r="AO57" i="166" s="1"/>
  <c r="AP52" i="166" s="1"/>
  <c r="AP50" i="166" s="1"/>
  <c r="AP56" i="166" s="1"/>
  <c r="AP53" i="166" s="1"/>
  <c r="AP51" i="166" s="1"/>
  <c r="AP57" i="166" s="1"/>
  <c r="AQ52" i="166" s="1"/>
  <c r="AT82" i="170"/>
  <c r="AU92" i="174"/>
  <c r="AE134" i="168"/>
  <c r="AF32" i="168"/>
  <c r="AR61" i="166"/>
  <c r="B63" i="166"/>
  <c r="B91" i="168"/>
  <c r="AU97" i="168"/>
  <c r="B41" i="168"/>
  <c r="AP47" i="168"/>
  <c r="B61" i="174"/>
  <c r="AR67" i="174"/>
  <c r="B50" i="168"/>
  <c r="AQ56" i="168"/>
  <c r="AQ50" i="170"/>
  <c r="B52" i="170"/>
  <c r="AX121" i="166"/>
  <c r="B123" i="166"/>
  <c r="AS73" i="166"/>
  <c r="B76" i="166"/>
  <c r="AV103" i="170"/>
  <c r="B106" i="170"/>
  <c r="AE133" i="168"/>
  <c r="AE139" i="168" s="1"/>
  <c r="AE137" i="168"/>
  <c r="AT80" i="166"/>
  <c r="B82" i="166"/>
  <c r="AE131" i="166"/>
  <c r="AE37" i="166"/>
  <c r="AT80" i="168"/>
  <c r="B82" i="168"/>
  <c r="B70" i="174"/>
  <c r="AS76" i="174"/>
  <c r="AE131" i="172"/>
  <c r="AE37" i="172"/>
  <c r="B110" i="168"/>
  <c r="AW116" i="168"/>
  <c r="AX123" i="174"/>
  <c r="B126" i="174"/>
  <c r="AQ51" i="174"/>
  <c r="B53" i="174"/>
  <c r="AR83" i="172"/>
  <c r="AR81" i="172" s="1"/>
  <c r="AR87" i="172" s="1"/>
  <c r="AU91" i="172"/>
  <c r="B93" i="172"/>
  <c r="AO92" i="166"/>
  <c r="AO90" i="166" s="1"/>
  <c r="AO96" i="166" s="1"/>
  <c r="AO93" i="166" s="1"/>
  <c r="AO91" i="166" s="1"/>
  <c r="AO97" i="166" s="1"/>
  <c r="AP92" i="166" s="1"/>
  <c r="AP90" i="166" s="1"/>
  <c r="AP96" i="166" s="1"/>
  <c r="AP93" i="166" s="1"/>
  <c r="AP91" i="166" s="1"/>
  <c r="AP97" i="166" s="1"/>
  <c r="AQ92" i="166" s="1"/>
  <c r="AQ90" i="166" s="1"/>
  <c r="AQ96" i="166" s="1"/>
  <c r="AQ93" i="166" s="1"/>
  <c r="AQ91" i="166" s="1"/>
  <c r="AQ97" i="166" s="1"/>
  <c r="AR92" i="166" s="1"/>
  <c r="AR90" i="166" s="1"/>
  <c r="AR96" i="166" s="1"/>
  <c r="AR93" i="166" s="1"/>
  <c r="AR91" i="166" s="1"/>
  <c r="AR97" i="166" s="1"/>
  <c r="AS92" i="166" s="1"/>
  <c r="AS90" i="166" s="1"/>
  <c r="AS96" i="166" s="1"/>
  <c r="AS93" i="166" s="1"/>
  <c r="AS91" i="166" s="1"/>
  <c r="AS97" i="166" s="1"/>
  <c r="AT92" i="166" s="1"/>
  <c r="AT90" i="166" s="1"/>
  <c r="AT96" i="166" s="1"/>
  <c r="AT93" i="166" s="1"/>
  <c r="AT91" i="166" s="1"/>
  <c r="AT97" i="166" s="1"/>
  <c r="AU92" i="166" s="1"/>
  <c r="AT81" i="174"/>
  <c r="B83" i="174"/>
  <c r="AW110" i="166"/>
  <c r="B112" i="166"/>
  <c r="B71" i="168"/>
  <c r="AS77" i="168"/>
  <c r="B41" i="170"/>
  <c r="AP47" i="170"/>
  <c r="AF32" i="174"/>
  <c r="AE134" i="174"/>
  <c r="AW110" i="172"/>
  <c r="B112" i="172"/>
  <c r="B100" i="172"/>
  <c r="AV106" i="172"/>
  <c r="AE133" i="174"/>
  <c r="AE139" i="174" s="1"/>
  <c r="AE137" i="174"/>
  <c r="AV101" i="168"/>
  <c r="B103" i="168"/>
  <c r="B60" i="170"/>
  <c r="AR66" i="170"/>
  <c r="AP43" i="166"/>
  <c r="B46" i="166"/>
  <c r="B121" i="170"/>
  <c r="AX127" i="170"/>
  <c r="AX121" i="168"/>
  <c r="B123" i="168"/>
  <c r="AW110" i="170"/>
  <c r="B112" i="170"/>
  <c r="B102" i="174"/>
  <c r="AV100" i="174"/>
  <c r="AS73" i="172"/>
  <c r="B76" i="172"/>
  <c r="B60" i="172"/>
  <c r="AR66" i="172"/>
  <c r="AV107" i="166"/>
  <c r="B101" i="166"/>
  <c r="AE131" i="170"/>
  <c r="AE37" i="170"/>
  <c r="AP43" i="174"/>
  <c r="B46" i="174"/>
  <c r="AS93" i="170"/>
  <c r="AS91" i="170" s="1"/>
  <c r="AS97" i="170" s="1"/>
  <c r="AT92" i="170" s="1"/>
  <c r="AT90" i="170" s="1"/>
  <c r="AT96" i="170" s="1"/>
  <c r="AT93" i="170" s="1"/>
  <c r="AT91" i="170" s="1"/>
  <c r="AT97" i="170" s="1"/>
  <c r="AQ50" i="172"/>
  <c r="B52" i="172"/>
  <c r="AP40" i="172"/>
  <c r="B42" i="172"/>
  <c r="AR60" i="168"/>
  <c r="B62" i="168"/>
  <c r="AW113" i="174"/>
  <c r="B116" i="174"/>
  <c r="AS71" i="170"/>
  <c r="B73" i="170"/>
  <c r="AX120" i="172"/>
  <c r="B122" i="172"/>
  <c r="T38" i="183" l="1"/>
  <c r="T40" i="183"/>
  <c r="AS82" i="172"/>
  <c r="AS80" i="172" s="1"/>
  <c r="AS86" i="172" s="1"/>
  <c r="AS83" i="172" s="1"/>
  <c r="AU92" i="170"/>
  <c r="AW111" i="174"/>
  <c r="B113" i="174"/>
  <c r="AP46" i="172"/>
  <c r="B40" i="172"/>
  <c r="AE133" i="170"/>
  <c r="AE139" i="170" s="1"/>
  <c r="AE137" i="170"/>
  <c r="AR63" i="172"/>
  <c r="B66" i="172"/>
  <c r="B110" i="172"/>
  <c r="AW116" i="172"/>
  <c r="B77" i="168"/>
  <c r="AS73" i="174"/>
  <c r="B76" i="174"/>
  <c r="B80" i="168"/>
  <c r="AT86" i="168"/>
  <c r="AV101" i="170"/>
  <c r="B103" i="170"/>
  <c r="B50" i="170"/>
  <c r="AQ56" i="170"/>
  <c r="AQ53" i="168"/>
  <c r="B56" i="168"/>
  <c r="AF30" i="168"/>
  <c r="AX121" i="174"/>
  <c r="B123" i="174"/>
  <c r="B97" i="168"/>
  <c r="AQ50" i="166"/>
  <c r="B52" i="166"/>
  <c r="B121" i="168"/>
  <c r="AX127" i="168"/>
  <c r="AV103" i="172"/>
  <c r="B106" i="172"/>
  <c r="AW113" i="168"/>
  <c r="B116" i="168"/>
  <c r="AF32" i="166"/>
  <c r="AE134" i="166"/>
  <c r="B127" i="170"/>
  <c r="AR63" i="170"/>
  <c r="B66" i="170"/>
  <c r="B81" i="174"/>
  <c r="AT87" i="174"/>
  <c r="AE137" i="166"/>
  <c r="AE133" i="166"/>
  <c r="AE139" i="166" s="1"/>
  <c r="AS71" i="166"/>
  <c r="B73" i="166"/>
  <c r="B67" i="174"/>
  <c r="AU90" i="174"/>
  <c r="B92" i="174"/>
  <c r="B107" i="166"/>
  <c r="AU90" i="166"/>
  <c r="B92" i="166"/>
  <c r="B51" i="174"/>
  <c r="AQ57" i="174"/>
  <c r="B100" i="174"/>
  <c r="AV106" i="174"/>
  <c r="B50" i="172"/>
  <c r="AQ56" i="172"/>
  <c r="AS71" i="172"/>
  <c r="B73" i="172"/>
  <c r="B47" i="170"/>
  <c r="AW116" i="166"/>
  <c r="B110" i="166"/>
  <c r="B91" i="172"/>
  <c r="AU97" i="172"/>
  <c r="AE134" i="172"/>
  <c r="AF32" i="172"/>
  <c r="AT86" i="166"/>
  <c r="B80" i="166"/>
  <c r="B60" i="168"/>
  <c r="AR66" i="168"/>
  <c r="B71" i="170"/>
  <c r="AS77" i="170"/>
  <c r="AP41" i="174"/>
  <c r="B43" i="174"/>
  <c r="AE133" i="172"/>
  <c r="AE139" i="172" s="1"/>
  <c r="AE137" i="172"/>
  <c r="AX127" i="166"/>
  <c r="B121" i="166"/>
  <c r="B47" i="168"/>
  <c r="B61" i="166"/>
  <c r="AR67" i="166"/>
  <c r="B120" i="172"/>
  <c r="AX126" i="172"/>
  <c r="B101" i="168"/>
  <c r="AV107" i="168"/>
  <c r="AF30" i="174"/>
  <c r="AE134" i="170"/>
  <c r="AF32" i="170"/>
  <c r="B110" i="170"/>
  <c r="AW116" i="170"/>
  <c r="AP41" i="166"/>
  <c r="B43" i="166"/>
  <c r="AT80" i="170"/>
  <c r="B82" i="170"/>
  <c r="AS81" i="172" l="1"/>
  <c r="AS87" i="172" s="1"/>
  <c r="AT82" i="172" s="1"/>
  <c r="T37" i="183"/>
  <c r="T18" i="176"/>
  <c r="T35" i="183"/>
  <c r="T36" i="183"/>
  <c r="B77" i="170"/>
  <c r="AT83" i="166"/>
  <c r="B86" i="166"/>
  <c r="AF36" i="168"/>
  <c r="AS71" i="174"/>
  <c r="B73" i="174"/>
  <c r="AW113" i="172"/>
  <c r="B116" i="172"/>
  <c r="B111" i="174"/>
  <c r="AW117" i="174"/>
  <c r="B71" i="172"/>
  <c r="AS77" i="172"/>
  <c r="AU96" i="166"/>
  <c r="B90" i="166"/>
  <c r="AQ56" i="166"/>
  <c r="B50" i="166"/>
  <c r="AR61" i="172"/>
  <c r="B63" i="172"/>
  <c r="B67" i="166"/>
  <c r="AF30" i="172"/>
  <c r="AW113" i="166"/>
  <c r="B116" i="166"/>
  <c r="AV103" i="174"/>
  <c r="B106" i="174"/>
  <c r="B90" i="174"/>
  <c r="AU96" i="174"/>
  <c r="B71" i="166"/>
  <c r="AS77" i="166"/>
  <c r="B127" i="168"/>
  <c r="B121" i="174"/>
  <c r="AX127" i="174"/>
  <c r="B101" i="170"/>
  <c r="AV107" i="170"/>
  <c r="AP43" i="172"/>
  <c r="B46" i="172"/>
  <c r="AW113" i="170"/>
  <c r="B116" i="170"/>
  <c r="B127" i="166"/>
  <c r="AR63" i="168"/>
  <c r="B66" i="168"/>
  <c r="AT83" i="168"/>
  <c r="B86" i="168"/>
  <c r="B80" i="170"/>
  <c r="AT86" i="170"/>
  <c r="AF36" i="174"/>
  <c r="AX123" i="172"/>
  <c r="B126" i="172"/>
  <c r="AP47" i="174"/>
  <c r="B41" i="174"/>
  <c r="AQ53" i="172"/>
  <c r="B56" i="172"/>
  <c r="B57" i="174"/>
  <c r="AR61" i="170"/>
  <c r="B63" i="170"/>
  <c r="AF30" i="166"/>
  <c r="AQ51" i="168"/>
  <c r="B53" i="168"/>
  <c r="AU90" i="170"/>
  <c r="B92" i="170"/>
  <c r="B97" i="172"/>
  <c r="AQ53" i="170"/>
  <c r="B56" i="170"/>
  <c r="B107" i="168"/>
  <c r="AV101" i="172"/>
  <c r="B103" i="172"/>
  <c r="AP47" i="166"/>
  <c r="B41" i="166"/>
  <c r="AF30" i="170"/>
  <c r="B87" i="174"/>
  <c r="AW111" i="168"/>
  <c r="B113" i="168"/>
  <c r="T42" i="183" l="1"/>
  <c r="T22" i="176"/>
  <c r="T27" i="176"/>
  <c r="B111" i="168"/>
  <c r="AW117" i="168"/>
  <c r="B101" i="172"/>
  <c r="AV107" i="172"/>
  <c r="B82" i="172"/>
  <c r="AT80" i="172"/>
  <c r="AX121" i="172"/>
  <c r="B123" i="172"/>
  <c r="AR61" i="168"/>
  <c r="B63" i="168"/>
  <c r="B107" i="170"/>
  <c r="B77" i="166"/>
  <c r="AV101" i="174"/>
  <c r="B103" i="174"/>
  <c r="B90" i="170"/>
  <c r="AU96" i="170"/>
  <c r="AF33" i="174"/>
  <c r="AT83" i="170"/>
  <c r="B86" i="170"/>
  <c r="AT81" i="168"/>
  <c r="B83" i="168"/>
  <c r="B47" i="166"/>
  <c r="AW111" i="170"/>
  <c r="B113" i="170"/>
  <c r="AQ53" i="166"/>
  <c r="B56" i="166"/>
  <c r="B77" i="172"/>
  <c r="AW111" i="172"/>
  <c r="B113" i="172"/>
  <c r="B47" i="174"/>
  <c r="B127" i="174"/>
  <c r="AU93" i="174"/>
  <c r="B96" i="174"/>
  <c r="B61" i="170"/>
  <c r="AR67" i="170"/>
  <c r="AW111" i="166"/>
  <c r="B113" i="166"/>
  <c r="B51" i="168"/>
  <c r="AQ57" i="168"/>
  <c r="AQ51" i="172"/>
  <c r="B53" i="172"/>
  <c r="AF36" i="172"/>
  <c r="B117" i="174"/>
  <c r="B71" i="174"/>
  <c r="AS77" i="174"/>
  <c r="AF36" i="170"/>
  <c r="AF36" i="166"/>
  <c r="AF33" i="168"/>
  <c r="AQ51" i="170"/>
  <c r="B53" i="170"/>
  <c r="AP41" i="172"/>
  <c r="B43" i="172"/>
  <c r="B61" i="172"/>
  <c r="AR67" i="172"/>
  <c r="AU93" i="166"/>
  <c r="B96" i="166"/>
  <c r="AT81" i="166"/>
  <c r="B83" i="166"/>
  <c r="T29" i="176" l="1"/>
  <c r="AF33" i="170"/>
  <c r="B61" i="168"/>
  <c r="AR67" i="168"/>
  <c r="AU91" i="166"/>
  <c r="B93" i="166"/>
  <c r="B67" i="172"/>
  <c r="AF33" i="172"/>
  <c r="B111" i="170"/>
  <c r="AW117" i="170"/>
  <c r="AU93" i="170"/>
  <c r="B96" i="170"/>
  <c r="B101" i="174"/>
  <c r="AV107" i="174"/>
  <c r="B51" i="170"/>
  <c r="AQ57" i="170"/>
  <c r="B77" i="174"/>
  <c r="AQ57" i="172"/>
  <c r="B51" i="172"/>
  <c r="AQ51" i="166"/>
  <c r="B53" i="166"/>
  <c r="AT81" i="170"/>
  <c r="B83" i="170"/>
  <c r="B107" i="172"/>
  <c r="AT87" i="166"/>
  <c r="B81" i="166"/>
  <c r="B57" i="168"/>
  <c r="AW117" i="166"/>
  <c r="B111" i="166"/>
  <c r="B67" i="170"/>
  <c r="AF31" i="174"/>
  <c r="AF132" i="174"/>
  <c r="AP47" i="172"/>
  <c r="B41" i="172"/>
  <c r="AF31" i="168"/>
  <c r="AF132" i="168"/>
  <c r="AF33" i="166"/>
  <c r="B111" i="172"/>
  <c r="AW117" i="172"/>
  <c r="B81" i="168"/>
  <c r="AT87" i="168"/>
  <c r="B121" i="172"/>
  <c r="AX127" i="172"/>
  <c r="AU91" i="174"/>
  <c r="B93" i="174"/>
  <c r="B80" i="172"/>
  <c r="AT86" i="172"/>
  <c r="B117" i="168"/>
  <c r="B117" i="170" l="1"/>
  <c r="AF31" i="172"/>
  <c r="AF132" i="172"/>
  <c r="AF31" i="166"/>
  <c r="AF132" i="166"/>
  <c r="B67" i="168"/>
  <c r="AF138" i="168"/>
  <c r="B57" i="172"/>
  <c r="AF131" i="168"/>
  <c r="AF37" i="168"/>
  <c r="B127" i="172"/>
  <c r="B117" i="172"/>
  <c r="AF138" i="174"/>
  <c r="AQ57" i="166"/>
  <c r="B51" i="166"/>
  <c r="AU91" i="170"/>
  <c r="B93" i="170"/>
  <c r="AF131" i="174"/>
  <c r="AF37" i="174"/>
  <c r="B57" i="170"/>
  <c r="AF31" i="170"/>
  <c r="AF132" i="170"/>
  <c r="AT83" i="172"/>
  <c r="B86" i="172"/>
  <c r="B91" i="174"/>
  <c r="AU97" i="174"/>
  <c r="B47" i="172"/>
  <c r="B87" i="166"/>
  <c r="AU97" i="166"/>
  <c r="B91" i="166"/>
  <c r="B87" i="168"/>
  <c r="B117" i="166"/>
  <c r="B81" i="170"/>
  <c r="AT87" i="170"/>
  <c r="B107" i="174"/>
  <c r="AF131" i="170" l="1"/>
  <c r="AF37" i="170"/>
  <c r="AF138" i="166"/>
  <c r="AF131" i="166"/>
  <c r="AF37" i="166"/>
  <c r="B97" i="174"/>
  <c r="B91" i="170"/>
  <c r="AU97" i="170"/>
  <c r="AF134" i="168"/>
  <c r="AG32" i="168"/>
  <c r="B97" i="166"/>
  <c r="AF133" i="168"/>
  <c r="AF137" i="168"/>
  <c r="B87" i="170"/>
  <c r="AF134" i="174"/>
  <c r="AG32" i="174"/>
  <c r="AT81" i="172"/>
  <c r="B83" i="172"/>
  <c r="AF133" i="174"/>
  <c r="AF137" i="174"/>
  <c r="B57" i="166"/>
  <c r="AF138" i="172"/>
  <c r="AF138" i="170"/>
  <c r="AF131" i="172"/>
  <c r="AF37" i="172"/>
  <c r="AF133" i="166" l="1"/>
  <c r="AF137" i="166"/>
  <c r="AF134" i="170"/>
  <c r="AG32" i="170"/>
  <c r="AF139" i="174"/>
  <c r="AG30" i="174"/>
  <c r="AG30" i="168"/>
  <c r="AF133" i="170"/>
  <c r="AF137" i="170"/>
  <c r="AG32" i="172"/>
  <c r="AF134" i="172"/>
  <c r="B81" i="172"/>
  <c r="AT87" i="172"/>
  <c r="AF137" i="172"/>
  <c r="AF133" i="172"/>
  <c r="B97" i="170"/>
  <c r="AF139" i="168"/>
  <c r="AF134" i="166"/>
  <c r="AG32" i="166"/>
  <c r="U40" i="183" l="1"/>
  <c r="U38" i="183"/>
  <c r="AG30" i="166"/>
  <c r="AG30" i="172"/>
  <c r="AF139" i="172"/>
  <c r="AG36" i="174"/>
  <c r="AG30" i="170"/>
  <c r="B87" i="172"/>
  <c r="AF139" i="170"/>
  <c r="AG36" i="168"/>
  <c r="AF139" i="166"/>
  <c r="U36" i="183" l="1"/>
  <c r="U37" i="183"/>
  <c r="U18" i="176"/>
  <c r="U35" i="183"/>
  <c r="AG36" i="170"/>
  <c r="AG36" i="166"/>
  <c r="AG33" i="168"/>
  <c r="AG33" i="174"/>
  <c r="AG36" i="172"/>
  <c r="U27" i="176" l="1"/>
  <c r="U22" i="176"/>
  <c r="U42" i="183"/>
  <c r="AG33" i="166"/>
  <c r="AG31" i="168"/>
  <c r="AG132" i="168"/>
  <c r="AG33" i="170"/>
  <c r="AG31" i="174"/>
  <c r="AG132" i="174"/>
  <c r="AG33" i="172"/>
  <c r="U29" i="176" l="1"/>
  <c r="AG138" i="168"/>
  <c r="AG131" i="168"/>
  <c r="AG37" i="168"/>
  <c r="AG131" i="174"/>
  <c r="AG37" i="174"/>
  <c r="AG31" i="172"/>
  <c r="AG132" i="172"/>
  <c r="AG138" i="174"/>
  <c r="AG31" i="170"/>
  <c r="AG132" i="170"/>
  <c r="AG31" i="166"/>
  <c r="AG132" i="166"/>
  <c r="AG134" i="168" l="1"/>
  <c r="AH32" i="168"/>
  <c r="AG137" i="168"/>
  <c r="AG133" i="168"/>
  <c r="AG138" i="166"/>
  <c r="AG131" i="166"/>
  <c r="AG37" i="166"/>
  <c r="AG138" i="170"/>
  <c r="AG138" i="172"/>
  <c r="AH32" i="174"/>
  <c r="AG134" i="174"/>
  <c r="AG131" i="170"/>
  <c r="AG37" i="170"/>
  <c r="AG131" i="172"/>
  <c r="AG37" i="172"/>
  <c r="AG133" i="174"/>
  <c r="AG137" i="174"/>
  <c r="AG133" i="172" l="1"/>
  <c r="AG137" i="172"/>
  <c r="AH32" i="166"/>
  <c r="AG134" i="166"/>
  <c r="AG139" i="168"/>
  <c r="AH32" i="170"/>
  <c r="AG134" i="170"/>
  <c r="AG133" i="166"/>
  <c r="AG137" i="166"/>
  <c r="AG133" i="170"/>
  <c r="AG137" i="170"/>
  <c r="AH30" i="174"/>
  <c r="AG134" i="172"/>
  <c r="AH32" i="172"/>
  <c r="AH30" i="168"/>
  <c r="AG139" i="174"/>
  <c r="V38" i="183" l="1"/>
  <c r="V40" i="183"/>
  <c r="AH30" i="170"/>
  <c r="AH36" i="174"/>
  <c r="AH30" i="166"/>
  <c r="AG139" i="166"/>
  <c r="AH30" i="172"/>
  <c r="AG139" i="170"/>
  <c r="AG139" i="172"/>
  <c r="AH36" i="168"/>
  <c r="V37" i="183" l="1"/>
  <c r="V18" i="176"/>
  <c r="V36" i="183"/>
  <c r="V35" i="183"/>
  <c r="AH36" i="166"/>
  <c r="AH36" i="170"/>
  <c r="AH33" i="174"/>
  <c r="AH33" i="168"/>
  <c r="AH36" i="172"/>
  <c r="V27" i="176" l="1"/>
  <c r="V22" i="176"/>
  <c r="V42" i="183"/>
  <c r="AH31" i="168"/>
  <c r="AH132" i="168"/>
  <c r="AH33" i="170"/>
  <c r="AH33" i="172"/>
  <c r="AH31" i="174"/>
  <c r="AH132" i="174"/>
  <c r="AH33" i="166"/>
  <c r="V29" i="176" l="1"/>
  <c r="AH31" i="172"/>
  <c r="AH132" i="172"/>
  <c r="AH31" i="166"/>
  <c r="AH132" i="166"/>
  <c r="AH31" i="170"/>
  <c r="AH132" i="170"/>
  <c r="AH138" i="168"/>
  <c r="AH131" i="168"/>
  <c r="AH37" i="168"/>
  <c r="AH138" i="174"/>
  <c r="AH131" i="174"/>
  <c r="AH37" i="174"/>
  <c r="AH133" i="174" l="1"/>
  <c r="AH137" i="174"/>
  <c r="AH134" i="174"/>
  <c r="AI32" i="174"/>
  <c r="AH138" i="170"/>
  <c r="AH138" i="172"/>
  <c r="AH134" i="168"/>
  <c r="AI32" i="168"/>
  <c r="AH131" i="170"/>
  <c r="AH37" i="170"/>
  <c r="AH131" i="172"/>
  <c r="AH37" i="172"/>
  <c r="AH138" i="166"/>
  <c r="AH133" i="168"/>
  <c r="AH137" i="168"/>
  <c r="AH131" i="166"/>
  <c r="AH37" i="166"/>
  <c r="AH134" i="172" l="1"/>
  <c r="AI32" i="172"/>
  <c r="AH133" i="172"/>
  <c r="AH137" i="172"/>
  <c r="AH139" i="168"/>
  <c r="AH134" i="170"/>
  <c r="AI32" i="170"/>
  <c r="AH134" i="166"/>
  <c r="AI32" i="166"/>
  <c r="AH133" i="170"/>
  <c r="AH137" i="170"/>
  <c r="AH137" i="166"/>
  <c r="AH133" i="166"/>
  <c r="AI30" i="168"/>
  <c r="AI30" i="174"/>
  <c r="AH139" i="174"/>
  <c r="W38" i="183" l="1"/>
  <c r="W40" i="183"/>
  <c r="AH139" i="170"/>
  <c r="AI36" i="168"/>
  <c r="AH139" i="166"/>
  <c r="AI30" i="166"/>
  <c r="AI30" i="170"/>
  <c r="AI30" i="172"/>
  <c r="AI36" i="174"/>
  <c r="AH139" i="172"/>
  <c r="W35" i="183" l="1"/>
  <c r="W36" i="183"/>
  <c r="W37" i="183"/>
  <c r="W18" i="176"/>
  <c r="AI36" i="172"/>
  <c r="AI36" i="170"/>
  <c r="AI36" i="166"/>
  <c r="AI33" i="174"/>
  <c r="AI33" i="168"/>
  <c r="W22" i="176" l="1"/>
  <c r="W27" i="176"/>
  <c r="W42" i="183"/>
  <c r="AI33" i="166"/>
  <c r="AI31" i="174"/>
  <c r="AI132" i="174"/>
  <c r="AI31" i="168"/>
  <c r="AI132" i="168"/>
  <c r="AI33" i="170"/>
  <c r="AI33" i="172"/>
  <c r="W29" i="176" l="1"/>
  <c r="AI31" i="172"/>
  <c r="AI132" i="172"/>
  <c r="AI31" i="166"/>
  <c r="AI132" i="166"/>
  <c r="AI138" i="168"/>
  <c r="AI131" i="168"/>
  <c r="AI37" i="168"/>
  <c r="AI31" i="170"/>
  <c r="AI132" i="170"/>
  <c r="AI138" i="174"/>
  <c r="AI131" i="174"/>
  <c r="AI37" i="174"/>
  <c r="AI134" i="168" l="1"/>
  <c r="AJ32" i="168"/>
  <c r="AI133" i="168"/>
  <c r="AI137" i="168"/>
  <c r="AI138" i="170"/>
  <c r="AI133" i="174"/>
  <c r="AI137" i="174"/>
  <c r="AI131" i="170"/>
  <c r="AI37" i="170"/>
  <c r="AI138" i="166"/>
  <c r="AI134" i="174"/>
  <c r="AJ32" i="174"/>
  <c r="AI131" i="166"/>
  <c r="AI37" i="166"/>
  <c r="AI138" i="172"/>
  <c r="AI131" i="172"/>
  <c r="AI37" i="172"/>
  <c r="AI133" i="166" l="1"/>
  <c r="AI137" i="166"/>
  <c r="AI134" i="172"/>
  <c r="AJ32" i="172"/>
  <c r="AI139" i="174"/>
  <c r="AI139" i="168"/>
  <c r="AI137" i="172"/>
  <c r="AI133" i="172"/>
  <c r="AI134" i="170"/>
  <c r="AJ32" i="170"/>
  <c r="AI133" i="170"/>
  <c r="AI137" i="170"/>
  <c r="AI134" i="166"/>
  <c r="AJ32" i="166"/>
  <c r="AJ30" i="174"/>
  <c r="AJ30" i="168"/>
  <c r="X40" i="183" l="1"/>
  <c r="X38" i="183"/>
  <c r="AJ36" i="174"/>
  <c r="AI139" i="170"/>
  <c r="AJ30" i="166"/>
  <c r="AJ30" i="172"/>
  <c r="AJ36" i="168"/>
  <c r="AJ30" i="170"/>
  <c r="AI139" i="172"/>
  <c r="AI139" i="166"/>
  <c r="X37" i="183" l="1"/>
  <c r="X18" i="176"/>
  <c r="X35" i="183"/>
  <c r="X36" i="183"/>
  <c r="AJ33" i="168"/>
  <c r="AJ36" i="166"/>
  <c r="AJ36" i="172"/>
  <c r="AJ33" i="174"/>
  <c r="AJ36" i="170"/>
  <c r="X42" i="183" l="1"/>
  <c r="X22" i="176"/>
  <c r="X27" i="176"/>
  <c r="AJ31" i="174"/>
  <c r="AJ132" i="174"/>
  <c r="AJ138" i="174" s="1"/>
  <c r="AJ33" i="172"/>
  <c r="AJ33" i="166"/>
  <c r="AJ33" i="170"/>
  <c r="AJ31" i="168"/>
  <c r="AJ132" i="168"/>
  <c r="AJ138" i="168" s="1"/>
  <c r="X29" i="176" l="1"/>
  <c r="AJ31" i="170"/>
  <c r="AJ132" i="170"/>
  <c r="AJ138" i="170" s="1"/>
  <c r="AJ31" i="166"/>
  <c r="AJ132" i="166"/>
  <c r="AJ138" i="166" s="1"/>
  <c r="AJ131" i="168"/>
  <c r="AJ37" i="168"/>
  <c r="AJ31" i="172"/>
  <c r="AJ132" i="172"/>
  <c r="AJ138" i="172" s="1"/>
  <c r="AJ131" i="174"/>
  <c r="AJ37" i="174"/>
  <c r="AJ134" i="168" l="1"/>
  <c r="AK32" i="168"/>
  <c r="AJ133" i="168"/>
  <c r="AJ139" i="168" s="1"/>
  <c r="Y40" i="183" s="1"/>
  <c r="AJ137" i="168"/>
  <c r="AJ134" i="174"/>
  <c r="AK32" i="174"/>
  <c r="AJ131" i="166"/>
  <c r="AJ37" i="166"/>
  <c r="AJ133" i="174"/>
  <c r="AJ139" i="174" s="1"/>
  <c r="Y38" i="183" s="1"/>
  <c r="AJ137" i="174"/>
  <c r="AJ131" i="172"/>
  <c r="AJ37" i="172"/>
  <c r="AJ131" i="170"/>
  <c r="AJ37" i="170"/>
  <c r="AJ133" i="170" l="1"/>
  <c r="AJ139" i="170" s="1"/>
  <c r="Y35" i="183" s="1"/>
  <c r="AJ137" i="170"/>
  <c r="AJ133" i="172"/>
  <c r="AJ139" i="172" s="1"/>
  <c r="Y36" i="183" s="1"/>
  <c r="AJ137" i="172"/>
  <c r="AJ134" i="172"/>
  <c r="AK32" i="172"/>
  <c r="AK30" i="168"/>
  <c r="AJ134" i="166"/>
  <c r="AK32" i="166"/>
  <c r="AK30" i="174"/>
  <c r="AJ137" i="166"/>
  <c r="AJ133" i="166"/>
  <c r="AJ139" i="166" s="1"/>
  <c r="AJ134" i="170"/>
  <c r="AK32" i="170"/>
  <c r="Y37" i="183" l="1"/>
  <c r="Y42" i="183" s="1"/>
  <c r="Y18" i="176"/>
  <c r="AK30" i="170"/>
  <c r="AK30" i="166"/>
  <c r="AK30" i="172"/>
  <c r="AK36" i="174"/>
  <c r="AK36" i="168"/>
  <c r="Y27" i="176" l="1"/>
  <c r="Y22" i="176"/>
  <c r="AK36" i="166"/>
  <c r="AK36" i="170"/>
  <c r="AK33" i="174"/>
  <c r="AK36" i="172"/>
  <c r="AK33" i="168"/>
  <c r="Y29" i="176" l="1"/>
  <c r="AK31" i="168"/>
  <c r="AK132" i="168"/>
  <c r="AK138" i="168" s="1"/>
  <c r="AK33" i="170"/>
  <c r="AK33" i="172"/>
  <c r="AK33" i="166"/>
  <c r="AK31" i="174"/>
  <c r="AK132" i="174"/>
  <c r="AK138" i="174" s="1"/>
  <c r="AK31" i="166" l="1"/>
  <c r="AK132" i="166"/>
  <c r="AK138" i="166" s="1"/>
  <c r="AK31" i="170"/>
  <c r="AK132" i="170"/>
  <c r="AK138" i="170" s="1"/>
  <c r="AK131" i="174"/>
  <c r="AK37" i="174"/>
  <c r="AK31" i="172"/>
  <c r="AK132" i="172"/>
  <c r="AK138" i="172" s="1"/>
  <c r="AK131" i="168"/>
  <c r="AK37" i="168"/>
  <c r="AK133" i="168" l="1"/>
  <c r="AK139" i="168" s="1"/>
  <c r="Z40" i="183" s="1"/>
  <c r="AK137" i="168"/>
  <c r="AK131" i="172"/>
  <c r="AK37" i="172"/>
  <c r="AK134" i="168"/>
  <c r="AL32" i="168"/>
  <c r="AK134" i="174"/>
  <c r="AL32" i="174"/>
  <c r="AK133" i="174"/>
  <c r="AK139" i="174" s="1"/>
  <c r="Z38" i="183" s="1"/>
  <c r="AK137" i="174"/>
  <c r="AK131" i="170"/>
  <c r="AK37" i="170"/>
  <c r="AK131" i="166"/>
  <c r="AK37" i="166"/>
  <c r="AL30" i="168" l="1"/>
  <c r="AK133" i="170"/>
  <c r="AK139" i="170" s="1"/>
  <c r="Z35" i="183" s="1"/>
  <c r="AK137" i="170"/>
  <c r="AL32" i="172"/>
  <c r="AK134" i="172"/>
  <c r="AK137" i="172"/>
  <c r="AK133" i="172"/>
  <c r="AK139" i="172" s="1"/>
  <c r="Z36" i="183" s="1"/>
  <c r="AK134" i="166"/>
  <c r="AL32" i="166"/>
  <c r="AL30" i="174"/>
  <c r="AK134" i="170"/>
  <c r="AL32" i="170"/>
  <c r="AK133" i="166"/>
  <c r="AK139" i="166" s="1"/>
  <c r="AK137" i="166"/>
  <c r="Z37" i="183" l="1"/>
  <c r="Z18" i="176"/>
  <c r="Z42" i="183"/>
  <c r="AL30" i="166"/>
  <c r="AL30" i="170"/>
  <c r="AL30" i="172"/>
  <c r="AL36" i="168"/>
  <c r="AL36" i="174"/>
  <c r="Z27" i="176" l="1"/>
  <c r="Z22" i="176"/>
  <c r="AL33" i="174"/>
  <c r="AL36" i="166"/>
  <c r="AL36" i="172"/>
  <c r="AL33" i="168"/>
  <c r="AL36" i="170"/>
  <c r="E102" i="123"/>
  <c r="F102" i="123" s="1"/>
  <c r="G102" i="123" s="1"/>
  <c r="H102" i="123" s="1"/>
  <c r="I102" i="123" s="1"/>
  <c r="J102" i="123" s="1"/>
  <c r="K102" i="123" l="1"/>
  <c r="N102" i="123" s="1"/>
  <c r="B16" i="185" s="1"/>
  <c r="Z29" i="176"/>
  <c r="AL33" i="172"/>
  <c r="AL33" i="170"/>
  <c r="AL33" i="166"/>
  <c r="AL31" i="168"/>
  <c r="AL132" i="168"/>
  <c r="AL138" i="168" s="1"/>
  <c r="AL31" i="174"/>
  <c r="AL132" i="174"/>
  <c r="AL138" i="174" s="1"/>
  <c r="O39" i="183" l="1"/>
  <c r="AL31" i="170"/>
  <c r="AL132" i="170"/>
  <c r="AL138" i="170" s="1"/>
  <c r="AL131" i="174"/>
  <c r="AL37" i="174"/>
  <c r="AL131" i="168"/>
  <c r="AL37" i="168"/>
  <c r="AL31" i="166"/>
  <c r="AL132" i="166"/>
  <c r="AL138" i="166" s="1"/>
  <c r="AL31" i="172"/>
  <c r="AL132" i="172"/>
  <c r="AL138" i="172" s="1"/>
  <c r="G1" i="154"/>
  <c r="H1" i="154" s="1"/>
  <c r="I1" i="154" s="1"/>
  <c r="J1" i="154" s="1"/>
  <c r="K1" i="154" s="1"/>
  <c r="L1" i="154" s="1"/>
  <c r="M1" i="154" s="1"/>
  <c r="N1" i="154" s="1"/>
  <c r="O1" i="154" s="1"/>
  <c r="P1" i="154" s="1"/>
  <c r="Q1" i="154" s="1"/>
  <c r="R1" i="154" s="1"/>
  <c r="S1" i="154" s="1"/>
  <c r="T1" i="154" s="1"/>
  <c r="U1" i="154" s="1"/>
  <c r="V1" i="154" s="1"/>
  <c r="W1" i="154" s="1"/>
  <c r="X1" i="154" s="1"/>
  <c r="Y1" i="154" s="1"/>
  <c r="Z1" i="154" s="1"/>
  <c r="AA1" i="154" s="1"/>
  <c r="AB1" i="154" s="1"/>
  <c r="E60" i="123"/>
  <c r="I39" i="123"/>
  <c r="I42" i="123" s="1"/>
  <c r="I43" i="123" s="1"/>
  <c r="J43" i="123" s="1"/>
  <c r="E9" i="123"/>
  <c r="N39" i="183" l="1"/>
  <c r="E16" i="185" s="1"/>
  <c r="M39" i="183"/>
  <c r="AL134" i="174"/>
  <c r="AM32" i="174"/>
  <c r="AL131" i="172"/>
  <c r="AL37" i="172"/>
  <c r="AL133" i="174"/>
  <c r="AL139" i="174" s="1"/>
  <c r="AA38" i="183" s="1"/>
  <c r="AL137" i="174"/>
  <c r="AM32" i="168"/>
  <c r="AL134" i="168"/>
  <c r="AL131" i="166"/>
  <c r="AL37" i="166"/>
  <c r="AL133" i="168"/>
  <c r="AL139" i="168" s="1"/>
  <c r="AA40" i="183" s="1"/>
  <c r="AL137" i="168"/>
  <c r="AL131" i="170"/>
  <c r="AL37" i="170"/>
  <c r="F9" i="123"/>
  <c r="G9" i="123"/>
  <c r="H9" i="123"/>
  <c r="I9" i="123"/>
  <c r="D9" i="123"/>
  <c r="D9" i="154"/>
  <c r="D5" i="154"/>
  <c r="F60" i="123"/>
  <c r="G60" i="123" s="1"/>
  <c r="H60" i="123" s="1"/>
  <c r="M5" i="154" l="1"/>
  <c r="N5" i="154"/>
  <c r="Q5" i="154"/>
  <c r="O5" i="154"/>
  <c r="P5" i="154"/>
  <c r="M9" i="154"/>
  <c r="P9" i="154"/>
  <c r="R13" i="183" s="1"/>
  <c r="N9" i="154"/>
  <c r="P13" i="183" s="1"/>
  <c r="Q9" i="154"/>
  <c r="O9" i="154"/>
  <c r="AL137" i="170"/>
  <c r="AL133" i="170"/>
  <c r="AL139" i="170" s="1"/>
  <c r="AA35" i="183" s="1"/>
  <c r="AL137" i="166"/>
  <c r="AL133" i="166"/>
  <c r="AL139" i="166" s="1"/>
  <c r="AL134" i="172"/>
  <c r="AM32" i="172"/>
  <c r="AL133" i="172"/>
  <c r="AL139" i="172" s="1"/>
  <c r="AA36" i="183" s="1"/>
  <c r="AL137" i="172"/>
  <c r="AL134" i="166"/>
  <c r="AM32" i="166"/>
  <c r="AM32" i="170"/>
  <c r="AL134" i="170"/>
  <c r="AM30" i="168"/>
  <c r="AM30" i="174"/>
  <c r="D6" i="154"/>
  <c r="P15" i="183"/>
  <c r="Q31" i="183" s="1"/>
  <c r="S15" i="183"/>
  <c r="R15" i="183"/>
  <c r="Q15" i="183"/>
  <c r="S13" i="183"/>
  <c r="Q13" i="183"/>
  <c r="C10" i="154"/>
  <c r="D7" i="154"/>
  <c r="D8" i="154"/>
  <c r="D4" i="154"/>
  <c r="M4" i="154" s="1"/>
  <c r="P4" i="154" l="1"/>
  <c r="N4" i="154"/>
  <c r="P11" i="183" s="1"/>
  <c r="Q4" i="154"/>
  <c r="S11" i="183" s="1"/>
  <c r="S17" i="183" s="1"/>
  <c r="O4" i="154"/>
  <c r="Q11" i="183" s="1"/>
  <c r="S31" i="183"/>
  <c r="M8" i="154"/>
  <c r="Q8" i="154"/>
  <c r="S12" i="183" s="1"/>
  <c r="N8" i="154"/>
  <c r="P12" i="183" s="1"/>
  <c r="O8" i="154"/>
  <c r="P8" i="154"/>
  <c r="M7" i="154"/>
  <c r="P7" i="154"/>
  <c r="R16" i="183" s="1"/>
  <c r="N7" i="154"/>
  <c r="P16" i="183" s="1"/>
  <c r="Q7" i="154"/>
  <c r="S16" i="183" s="1"/>
  <c r="O7" i="154"/>
  <c r="Q16" i="183" s="1"/>
  <c r="S29" i="183"/>
  <c r="M6" i="154"/>
  <c r="N6" i="154"/>
  <c r="P6" i="154"/>
  <c r="O6" i="154"/>
  <c r="Q6" i="154"/>
  <c r="S14" i="183" s="1"/>
  <c r="T31" i="183"/>
  <c r="R29" i="183"/>
  <c r="R31" i="183"/>
  <c r="T29" i="183"/>
  <c r="AA37" i="183"/>
  <c r="AA42" i="183" s="1"/>
  <c r="AA18" i="176"/>
  <c r="AM36" i="168"/>
  <c r="AM30" i="172"/>
  <c r="AM30" i="170"/>
  <c r="AM30" i="166"/>
  <c r="AM36" i="174"/>
  <c r="P14" i="183"/>
  <c r="R14" i="183"/>
  <c r="Q14" i="183"/>
  <c r="R11" i="183"/>
  <c r="R12" i="183"/>
  <c r="Q12" i="183"/>
  <c r="D10" i="154"/>
  <c r="AO26" i="144"/>
  <c r="AP26" i="144"/>
  <c r="AQ26" i="144"/>
  <c r="AR26" i="144"/>
  <c r="AS26" i="144"/>
  <c r="AT26" i="144"/>
  <c r="AU26" i="144"/>
  <c r="L32" i="144"/>
  <c r="L31" i="144"/>
  <c r="AN26" i="144"/>
  <c r="AM26" i="144"/>
  <c r="AL26" i="144"/>
  <c r="AK26" i="144"/>
  <c r="AJ26" i="144"/>
  <c r="AI26" i="144"/>
  <c r="AH26" i="144"/>
  <c r="AG26" i="144"/>
  <c r="AF26" i="144"/>
  <c r="AE26" i="144"/>
  <c r="AD26" i="144"/>
  <c r="AC26" i="144"/>
  <c r="AB26" i="144"/>
  <c r="AA26" i="144"/>
  <c r="Z26" i="144"/>
  <c r="Y26" i="144"/>
  <c r="X26" i="144"/>
  <c r="W26" i="144"/>
  <c r="V26" i="144"/>
  <c r="U26" i="144"/>
  <c r="T26" i="144"/>
  <c r="S26" i="144"/>
  <c r="R26" i="144"/>
  <c r="Q26" i="144"/>
  <c r="P26" i="144"/>
  <c r="M11" i="144"/>
  <c r="E16" i="144" s="1"/>
  <c r="P23" i="144" s="1"/>
  <c r="Q23" i="144" s="1"/>
  <c r="R23" i="144" s="1"/>
  <c r="S23" i="144" s="1"/>
  <c r="T23" i="144" s="1"/>
  <c r="U23" i="144" s="1"/>
  <c r="V23" i="144" s="1"/>
  <c r="W23" i="144" s="1"/>
  <c r="X23" i="144" s="1"/>
  <c r="Y23" i="144" s="1"/>
  <c r="Z23" i="144" s="1"/>
  <c r="AA23" i="144" s="1"/>
  <c r="AB23" i="144" s="1"/>
  <c r="AC23" i="144" s="1"/>
  <c r="AD23" i="144" s="1"/>
  <c r="AE23" i="144" s="1"/>
  <c r="AF23" i="144" s="1"/>
  <c r="AG23" i="144" s="1"/>
  <c r="AH23" i="144" s="1"/>
  <c r="AI23" i="144" s="1"/>
  <c r="AJ23" i="144" s="1"/>
  <c r="AK23" i="144" s="1"/>
  <c r="AL23" i="144" s="1"/>
  <c r="AM23" i="144" s="1"/>
  <c r="AN23" i="144" s="1"/>
  <c r="AO23" i="144" s="1"/>
  <c r="AP23" i="144" s="1"/>
  <c r="AQ23" i="144" s="1"/>
  <c r="AR23" i="144" s="1"/>
  <c r="AS23" i="144" s="1"/>
  <c r="AT23" i="144" s="1"/>
  <c r="AU23" i="144" s="1"/>
  <c r="E16" i="139"/>
  <c r="Q17" i="183" l="1"/>
  <c r="P17" i="183"/>
  <c r="R17" i="183"/>
  <c r="R27" i="183"/>
  <c r="AO29" i="183"/>
  <c r="AO33" i="183" s="1"/>
  <c r="AO44" i="183" s="1"/>
  <c r="T30" i="183"/>
  <c r="S32" i="183"/>
  <c r="S30" i="183"/>
  <c r="AH29" i="183"/>
  <c r="R32" i="183"/>
  <c r="S28" i="183"/>
  <c r="R28" i="183"/>
  <c r="S27" i="183"/>
  <c r="R30" i="183"/>
  <c r="T27" i="183"/>
  <c r="T32" i="183"/>
  <c r="T28" i="183"/>
  <c r="AK29" i="183"/>
  <c r="AM29" i="183"/>
  <c r="AM33" i="183" s="1"/>
  <c r="AH30" i="183"/>
  <c r="AI30" i="183"/>
  <c r="AJ29" i="183"/>
  <c r="AI29" i="183"/>
  <c r="AN29" i="183"/>
  <c r="AN33" i="183" s="1"/>
  <c r="AL29" i="183"/>
  <c r="AA27" i="176"/>
  <c r="AA22" i="176"/>
  <c r="AM36" i="166"/>
  <c r="AM36" i="172"/>
  <c r="AM36" i="170"/>
  <c r="AM33" i="174"/>
  <c r="AM33" i="168"/>
  <c r="O10" i="154"/>
  <c r="P10" i="154"/>
  <c r="Q10" i="154"/>
  <c r="N10" i="154"/>
  <c r="AO49" i="183" l="1"/>
  <c r="AO51" i="183" s="1"/>
  <c r="S33" i="183"/>
  <c r="S44" i="183" s="1"/>
  <c r="R33" i="183"/>
  <c r="R44" i="183" s="1"/>
  <c r="T33" i="183"/>
  <c r="AL30" i="183"/>
  <c r="AL33" i="183" s="1"/>
  <c r="AJ32" i="183"/>
  <c r="AA29" i="176"/>
  <c r="AM33" i="166"/>
  <c r="AM33" i="170"/>
  <c r="AM31" i="168"/>
  <c r="AM132" i="168"/>
  <c r="AM138" i="168" s="1"/>
  <c r="AM31" i="174"/>
  <c r="AM132" i="174"/>
  <c r="AM138" i="174" s="1"/>
  <c r="AM33" i="172"/>
  <c r="AN19" i="139"/>
  <c r="AM19" i="139"/>
  <c r="AO19" i="139"/>
  <c r="AL19" i="139"/>
  <c r="S49" i="183" l="1"/>
  <c r="S51" i="183" s="1"/>
  <c r="R49" i="183"/>
  <c r="R51" i="183" s="1"/>
  <c r="T49" i="183"/>
  <c r="T51" i="183" s="1"/>
  <c r="T44" i="183"/>
  <c r="AI32" i="183"/>
  <c r="AI33" i="183" s="1"/>
  <c r="AM131" i="168"/>
  <c r="AM37" i="168"/>
  <c r="AM31" i="172"/>
  <c r="AM132" i="172"/>
  <c r="AM138" i="172" s="1"/>
  <c r="AM31" i="170"/>
  <c r="AM132" i="170"/>
  <c r="AM138" i="170" s="1"/>
  <c r="AM31" i="166"/>
  <c r="AM132" i="166"/>
  <c r="AM138" i="166" s="1"/>
  <c r="AM131" i="174"/>
  <c r="AM37" i="174"/>
  <c r="AM131" i="170" l="1"/>
  <c r="AM37" i="170"/>
  <c r="AM134" i="168"/>
  <c r="AN32" i="168"/>
  <c r="AM131" i="172"/>
  <c r="AM37" i="172"/>
  <c r="AM133" i="168"/>
  <c r="AM139" i="168" s="1"/>
  <c r="AB40" i="183" s="1"/>
  <c r="AM137" i="168"/>
  <c r="AM133" i="174"/>
  <c r="AM139" i="174" s="1"/>
  <c r="AB38" i="183" s="1"/>
  <c r="AM137" i="174"/>
  <c r="AM134" i="174"/>
  <c r="AN32" i="174"/>
  <c r="AM131" i="166"/>
  <c r="AM37" i="166"/>
  <c r="AN30" i="168" l="1"/>
  <c r="AM137" i="166"/>
  <c r="AM133" i="166"/>
  <c r="AM139" i="166" s="1"/>
  <c r="AN32" i="170"/>
  <c r="AM134" i="170"/>
  <c r="AM137" i="170"/>
  <c r="AM133" i="170"/>
  <c r="AM139" i="170" s="1"/>
  <c r="AB35" i="183" s="1"/>
  <c r="AN30" i="174"/>
  <c r="AM134" i="172"/>
  <c r="AN32" i="172"/>
  <c r="AM137" i="172"/>
  <c r="AM133" i="172"/>
  <c r="AM139" i="172" s="1"/>
  <c r="AB36" i="183" s="1"/>
  <c r="AM134" i="166"/>
  <c r="AN32" i="166"/>
  <c r="AM18" i="139"/>
  <c r="AL18" i="139"/>
  <c r="AO18" i="139"/>
  <c r="AN18" i="139"/>
  <c r="AB37" i="183" l="1"/>
  <c r="AB42" i="183" s="1"/>
  <c r="AB18" i="176"/>
  <c r="AN30" i="170"/>
  <c r="AN30" i="172"/>
  <c r="AN36" i="168"/>
  <c r="AN30" i="166"/>
  <c r="AN36" i="174"/>
  <c r="I60" i="123"/>
  <c r="J60" i="123" s="1"/>
  <c r="AB27" i="176" l="1"/>
  <c r="AB22" i="176"/>
  <c r="AN33" i="174"/>
  <c r="AN36" i="172"/>
  <c r="AN36" i="166"/>
  <c r="AN33" i="168"/>
  <c r="AN36" i="170"/>
  <c r="AB29" i="176" l="1"/>
  <c r="AN33" i="166"/>
  <c r="AN33" i="170"/>
  <c r="AN31" i="168"/>
  <c r="AN132" i="168"/>
  <c r="AN138" i="168" s="1"/>
  <c r="AN33" i="172"/>
  <c r="AN31" i="174"/>
  <c r="AN132" i="174"/>
  <c r="AN138" i="174" s="1"/>
  <c r="AN31" i="170" l="1"/>
  <c r="AN132" i="170"/>
  <c r="AN138" i="170" s="1"/>
  <c r="AN31" i="166"/>
  <c r="AN132" i="166"/>
  <c r="AN138" i="166" s="1"/>
  <c r="AN31" i="172"/>
  <c r="AN132" i="172"/>
  <c r="AN138" i="172" s="1"/>
  <c r="AN131" i="174"/>
  <c r="AN37" i="174"/>
  <c r="AO32" i="174" s="1"/>
  <c r="AO30" i="174" s="1"/>
  <c r="AO36" i="174" s="1"/>
  <c r="AN131" i="168"/>
  <c r="AN37" i="168"/>
  <c r="AO32" i="168" s="1"/>
  <c r="AO30" i="168" s="1"/>
  <c r="AO36" i="168" s="1"/>
  <c r="AO33" i="168" s="1"/>
  <c r="AO31" i="168" s="1"/>
  <c r="AO37" i="168" s="1"/>
  <c r="AP32" i="168" s="1"/>
  <c r="AP30" i="168" l="1"/>
  <c r="AO33" i="174"/>
  <c r="AO31" i="174" s="1"/>
  <c r="AO37" i="174" s="1"/>
  <c r="AP32" i="174" s="1"/>
  <c r="AN131" i="172"/>
  <c r="AN37" i="172"/>
  <c r="AO32" i="172" s="1"/>
  <c r="AO30" i="172" s="1"/>
  <c r="AO36" i="172" s="1"/>
  <c r="AO33" i="172" s="1"/>
  <c r="AO31" i="172" s="1"/>
  <c r="AO37" i="172" s="1"/>
  <c r="AP32" i="172" s="1"/>
  <c r="AN131" i="170"/>
  <c r="AN37" i="170"/>
  <c r="AO32" i="170" s="1"/>
  <c r="AO30" i="170" s="1"/>
  <c r="AO36" i="170" s="1"/>
  <c r="AO33" i="170" s="1"/>
  <c r="AO31" i="170" s="1"/>
  <c r="AO37" i="170" s="1"/>
  <c r="AP32" i="170" s="1"/>
  <c r="AN134" i="168"/>
  <c r="AN133" i="168"/>
  <c r="AN139" i="168" s="1"/>
  <c r="AC40" i="183" s="1"/>
  <c r="AN137" i="168"/>
  <c r="AN134" i="174"/>
  <c r="AN133" i="174"/>
  <c r="AN139" i="174" s="1"/>
  <c r="AC38" i="183" s="1"/>
  <c r="AN137" i="174"/>
  <c r="AN131" i="166"/>
  <c r="AN37" i="166"/>
  <c r="AO32" i="166" s="1"/>
  <c r="AO30" i="166" s="1"/>
  <c r="AO36" i="166" s="1"/>
  <c r="AP36" i="168" l="1"/>
  <c r="AP33" i="168" s="1"/>
  <c r="AP30" i="174"/>
  <c r="AO33" i="166"/>
  <c r="AO31" i="166" s="1"/>
  <c r="AO37" i="166" s="1"/>
  <c r="AP30" i="172"/>
  <c r="AP30" i="170"/>
  <c r="AN134" i="170"/>
  <c r="AN137" i="170"/>
  <c r="AN133" i="170"/>
  <c r="AN139" i="170" s="1"/>
  <c r="AC35" i="183" s="1"/>
  <c r="AN133" i="166"/>
  <c r="AN139" i="166" s="1"/>
  <c r="AN137" i="166"/>
  <c r="AN134" i="172"/>
  <c r="AN134" i="166"/>
  <c r="AN137" i="172"/>
  <c r="AN133" i="172"/>
  <c r="AN139" i="172" s="1"/>
  <c r="AC36" i="183" s="1"/>
  <c r="AP31" i="168" l="1"/>
  <c r="AP132" i="168"/>
  <c r="AP138" i="168" s="1"/>
  <c r="AP36" i="174"/>
  <c r="AP32" i="166"/>
  <c r="AP36" i="172"/>
  <c r="AP33" i="172" s="1"/>
  <c r="AP36" i="170"/>
  <c r="AP33" i="170" s="1"/>
  <c r="AC37" i="183"/>
  <c r="AC18" i="176"/>
  <c r="AP37" i="168" l="1"/>
  <c r="AP131" i="168"/>
  <c r="AP33" i="174"/>
  <c r="AP30" i="166"/>
  <c r="AP31" i="172"/>
  <c r="AP132" i="172"/>
  <c r="AP138" i="172" s="1"/>
  <c r="AP31" i="170"/>
  <c r="AP132" i="170"/>
  <c r="AP138" i="170" s="1"/>
  <c r="AC42" i="183"/>
  <c r="AC27" i="176"/>
  <c r="AC22" i="176"/>
  <c r="AP133" i="168" l="1"/>
  <c r="AP139" i="168" s="1"/>
  <c r="AE40" i="183" s="1"/>
  <c r="AP137" i="168"/>
  <c r="AQ32" i="168"/>
  <c r="AP134" i="168"/>
  <c r="AP31" i="174"/>
  <c r="AP132" i="174"/>
  <c r="AP138" i="174" s="1"/>
  <c r="AP36" i="166"/>
  <c r="AP37" i="172"/>
  <c r="AP131" i="172"/>
  <c r="AP37" i="170"/>
  <c r="AP131" i="170"/>
  <c r="AC29" i="176"/>
  <c r="AO132" i="168"/>
  <c r="AO132" i="174"/>
  <c r="AQ30" i="168" l="1"/>
  <c r="AP131" i="174"/>
  <c r="AP37" i="174"/>
  <c r="AP33" i="166"/>
  <c r="AP137" i="172"/>
  <c r="AP133" i="172"/>
  <c r="AP139" i="172" s="1"/>
  <c r="AE36" i="183" s="1"/>
  <c r="AQ32" i="172"/>
  <c r="AP134" i="172"/>
  <c r="AP137" i="170"/>
  <c r="AP133" i="170"/>
  <c r="AP139" i="170" s="1"/>
  <c r="AQ32" i="170"/>
  <c r="AP134" i="170"/>
  <c r="AO131" i="174"/>
  <c r="AO132" i="172"/>
  <c r="AO138" i="168"/>
  <c r="AO132" i="170"/>
  <c r="AO131" i="168"/>
  <c r="AO138" i="174"/>
  <c r="AO132" i="166"/>
  <c r="AQ36" i="168" l="1"/>
  <c r="AQ32" i="174"/>
  <c r="AP134" i="174"/>
  <c r="AP137" i="174"/>
  <c r="AP133" i="174"/>
  <c r="AP139" i="174" s="1"/>
  <c r="AE38" i="183" s="1"/>
  <c r="AP31" i="166"/>
  <c r="AP132" i="166"/>
  <c r="AP138" i="166" s="1"/>
  <c r="AQ30" i="172"/>
  <c r="AQ30" i="170"/>
  <c r="AE35" i="183"/>
  <c r="AO138" i="166"/>
  <c r="AO134" i="168"/>
  <c r="AO131" i="166"/>
  <c r="AO138" i="172"/>
  <c r="AO138" i="170"/>
  <c r="AO134" i="174"/>
  <c r="AO137" i="168"/>
  <c r="AO133" i="168"/>
  <c r="AO131" i="172"/>
  <c r="AO133" i="174"/>
  <c r="AO137" i="174"/>
  <c r="AO131" i="170"/>
  <c r="AQ33" i="168" l="1"/>
  <c r="AQ30" i="174"/>
  <c r="AP131" i="166"/>
  <c r="AP37" i="166"/>
  <c r="AQ36" i="172"/>
  <c r="AQ36" i="170"/>
  <c r="AO139" i="168"/>
  <c r="AO139" i="174"/>
  <c r="AO134" i="170"/>
  <c r="AO134" i="172"/>
  <c r="AO137" i="170"/>
  <c r="AO133" i="170"/>
  <c r="AO133" i="172"/>
  <c r="AO137" i="172"/>
  <c r="AO134" i="166"/>
  <c r="AO137" i="166"/>
  <c r="AO133" i="166"/>
  <c r="AQ31" i="168" l="1"/>
  <c r="AQ132" i="168"/>
  <c r="AQ36" i="174"/>
  <c r="AQ32" i="166"/>
  <c r="AP134" i="166"/>
  <c r="AP133" i="166"/>
  <c r="AP139" i="166" s="1"/>
  <c r="AP137" i="166"/>
  <c r="AQ33" i="172"/>
  <c r="AQ33" i="170"/>
  <c r="AD38" i="183"/>
  <c r="AD40" i="183"/>
  <c r="AO139" i="172"/>
  <c r="AO139" i="166"/>
  <c r="AO139" i="170"/>
  <c r="AQ138" i="168" l="1"/>
  <c r="AQ131" i="168"/>
  <c r="AQ37" i="168"/>
  <c r="AQ33" i="174"/>
  <c r="AE37" i="183"/>
  <c r="AE42" i="183" s="1"/>
  <c r="AE18" i="176"/>
  <c r="AQ30" i="166"/>
  <c r="AQ31" i="172"/>
  <c r="AQ132" i="172"/>
  <c r="AQ31" i="170"/>
  <c r="AQ132" i="170"/>
  <c r="AD37" i="183"/>
  <c r="AD18" i="176"/>
  <c r="AD35" i="183"/>
  <c r="AD36" i="183"/>
  <c r="AR32" i="168" l="1"/>
  <c r="AQ134" i="168"/>
  <c r="AQ133" i="168"/>
  <c r="AQ137" i="168"/>
  <c r="AQ31" i="174"/>
  <c r="AQ132" i="174"/>
  <c r="AE22" i="176"/>
  <c r="AE27" i="176"/>
  <c r="AE29" i="176" s="1"/>
  <c r="AQ36" i="166"/>
  <c r="AQ138" i="172"/>
  <c r="AQ131" i="172"/>
  <c r="AQ37" i="172"/>
  <c r="AQ138" i="170"/>
  <c r="AQ131" i="170"/>
  <c r="AQ37" i="170"/>
  <c r="AD27" i="176"/>
  <c r="AD22" i="176"/>
  <c r="AD42" i="183"/>
  <c r="AQ139" i="168" l="1"/>
  <c r="AR30" i="168"/>
  <c r="AQ138" i="174"/>
  <c r="AQ37" i="174"/>
  <c r="AQ131" i="174"/>
  <c r="AQ33" i="166"/>
  <c r="AQ133" i="172"/>
  <c r="AQ137" i="172"/>
  <c r="AR32" i="172"/>
  <c r="AQ134" i="172"/>
  <c r="AQ133" i="170"/>
  <c r="AQ137" i="170"/>
  <c r="AR32" i="170"/>
  <c r="AQ134" i="170"/>
  <c r="AD29" i="176"/>
  <c r="AR36" i="168" l="1"/>
  <c r="AF40" i="183"/>
  <c r="AR32" i="174"/>
  <c r="AQ134" i="174"/>
  <c r="AQ133" i="174"/>
  <c r="AQ137" i="174"/>
  <c r="AQ31" i="166"/>
  <c r="AQ132" i="166"/>
  <c r="AR30" i="172"/>
  <c r="AQ139" i="172"/>
  <c r="AR30" i="170"/>
  <c r="AQ139" i="170"/>
  <c r="AR33" i="168" l="1"/>
  <c r="AQ139" i="174"/>
  <c r="AR30" i="174"/>
  <c r="AQ138" i="166"/>
  <c r="AQ131" i="166"/>
  <c r="AQ37" i="166"/>
  <c r="AF36" i="183"/>
  <c r="AR36" i="172"/>
  <c r="AF35" i="183"/>
  <c r="AR36" i="170"/>
  <c r="L32" i="139"/>
  <c r="L31" i="139"/>
  <c r="AO26" i="139"/>
  <c r="AN26" i="139"/>
  <c r="AM26" i="139"/>
  <c r="AL26" i="139"/>
  <c r="AK26" i="139"/>
  <c r="AJ26" i="139"/>
  <c r="AI26" i="139"/>
  <c r="AH26" i="139"/>
  <c r="AG26" i="139"/>
  <c r="AF26" i="139"/>
  <c r="AE26" i="139"/>
  <c r="AD26" i="139"/>
  <c r="AC26" i="139"/>
  <c r="AB26" i="139"/>
  <c r="AA26" i="139"/>
  <c r="Z26" i="139"/>
  <c r="Y26" i="139"/>
  <c r="X26" i="139"/>
  <c r="W26" i="139"/>
  <c r="V26" i="139"/>
  <c r="U26" i="139"/>
  <c r="T26" i="139"/>
  <c r="S26" i="139"/>
  <c r="R26" i="139"/>
  <c r="Q26" i="139"/>
  <c r="P26" i="139"/>
  <c r="AR31" i="168" l="1"/>
  <c r="AR132" i="168"/>
  <c r="AR36" i="174"/>
  <c r="AF38" i="183"/>
  <c r="AR32" i="166"/>
  <c r="AQ134" i="166"/>
  <c r="AQ133" i="166"/>
  <c r="AQ137" i="166"/>
  <c r="AR33" i="172"/>
  <c r="AR33" i="170"/>
  <c r="B7" i="144"/>
  <c r="AR138" i="168" l="1"/>
  <c r="AR37" i="168"/>
  <c r="AR131" i="168"/>
  <c r="AR33" i="174"/>
  <c r="AQ139" i="166"/>
  <c r="AR30" i="166"/>
  <c r="AR31" i="172"/>
  <c r="AR132" i="172"/>
  <c r="AR31" i="170"/>
  <c r="AR132" i="170"/>
  <c r="O19" i="144"/>
  <c r="B7" i="139"/>
  <c r="AR137" i="168" l="1"/>
  <c r="AR133" i="168"/>
  <c r="AS32" i="168"/>
  <c r="AR134" i="168"/>
  <c r="AR31" i="174"/>
  <c r="AR132" i="174"/>
  <c r="AF37" i="183"/>
  <c r="AF42" i="183" s="1"/>
  <c r="AF18" i="176"/>
  <c r="AR36" i="166"/>
  <c r="AR138" i="172"/>
  <c r="AR37" i="172"/>
  <c r="AR131" i="172"/>
  <c r="AR138" i="170"/>
  <c r="AR131" i="170"/>
  <c r="AR37" i="170"/>
  <c r="O18" i="144"/>
  <c r="O27" i="144" s="1"/>
  <c r="O19" i="139"/>
  <c r="O28" i="139" s="1"/>
  <c r="O18" i="139"/>
  <c r="E18" i="139" s="1"/>
  <c r="O28" i="144"/>
  <c r="E19" i="144"/>
  <c r="AS30" i="168" l="1"/>
  <c r="AR139" i="168"/>
  <c r="AR138" i="174"/>
  <c r="AR37" i="174"/>
  <c r="AR131" i="174"/>
  <c r="AR33" i="166"/>
  <c r="AF22" i="176"/>
  <c r="AF27" i="176"/>
  <c r="AF29" i="176" s="1"/>
  <c r="AR133" i="172"/>
  <c r="AR137" i="172"/>
  <c r="AS32" i="172"/>
  <c r="AR134" i="172"/>
  <c r="AS32" i="170"/>
  <c r="AR134" i="170"/>
  <c r="AR137" i="170"/>
  <c r="AR133" i="170"/>
  <c r="O20" i="144"/>
  <c r="E18" i="144"/>
  <c r="E20" i="144" s="1"/>
  <c r="E19" i="139"/>
  <c r="E20" i="139" s="1"/>
  <c r="O22" i="144"/>
  <c r="O27" i="139"/>
  <c r="O31" i="139" s="1"/>
  <c r="O32" i="144"/>
  <c r="O31" i="144"/>
  <c r="O29" i="144"/>
  <c r="O22" i="139"/>
  <c r="O20" i="139"/>
  <c r="O32" i="139"/>
  <c r="AG40" i="183" l="1"/>
  <c r="AS36" i="168"/>
  <c r="AS32" i="174"/>
  <c r="AR134" i="174"/>
  <c r="AR137" i="174"/>
  <c r="AR133" i="174"/>
  <c r="AR31" i="166"/>
  <c r="AR132" i="166"/>
  <c r="AS30" i="172"/>
  <c r="AR139" i="172"/>
  <c r="AR139" i="170"/>
  <c r="AS30" i="170"/>
  <c r="O29" i="139"/>
  <c r="O33" i="144"/>
  <c r="O33" i="139"/>
  <c r="AS33" i="168" l="1"/>
  <c r="AS30" i="174"/>
  <c r="AR139" i="174"/>
  <c r="AR138" i="166"/>
  <c r="AR37" i="166"/>
  <c r="AR131" i="166"/>
  <c r="AG36" i="183"/>
  <c r="AS36" i="172"/>
  <c r="AS36" i="170"/>
  <c r="AG35" i="183"/>
  <c r="P19" i="144"/>
  <c r="P18" i="144"/>
  <c r="P18" i="139"/>
  <c r="P19" i="139"/>
  <c r="AS31" i="168" l="1"/>
  <c r="AS132" i="168"/>
  <c r="AG38" i="183"/>
  <c r="AS36" i="174"/>
  <c r="AR133" i="166"/>
  <c r="AR137" i="166"/>
  <c r="AS32" i="166"/>
  <c r="AR134" i="166"/>
  <c r="AS33" i="172"/>
  <c r="AS33" i="170"/>
  <c r="AJ19" i="139"/>
  <c r="AS138" i="168" l="1"/>
  <c r="AS37" i="168"/>
  <c r="AS131" i="168"/>
  <c r="AS33" i="174"/>
  <c r="AS30" i="166"/>
  <c r="AR139" i="166"/>
  <c r="AS31" i="172"/>
  <c r="AS132" i="172"/>
  <c r="AS31" i="170"/>
  <c r="AS132" i="170"/>
  <c r="Q19" i="139"/>
  <c r="Q18" i="144"/>
  <c r="Q18" i="139"/>
  <c r="Q19" i="144"/>
  <c r="AT32" i="168" l="1"/>
  <c r="AS134" i="168"/>
  <c r="AS133" i="168"/>
  <c r="AS137" i="168"/>
  <c r="AS31" i="174"/>
  <c r="AS132" i="174"/>
  <c r="AG37" i="183"/>
  <c r="AG42" i="183" s="1"/>
  <c r="AG18" i="176"/>
  <c r="AS36" i="166"/>
  <c r="AS138" i="172"/>
  <c r="AS131" i="172"/>
  <c r="AS37" i="172"/>
  <c r="AS138" i="170"/>
  <c r="AS131" i="170"/>
  <c r="AS37" i="170"/>
  <c r="AK19" i="139"/>
  <c r="AS139" i="168" l="1"/>
  <c r="AT30" i="168"/>
  <c r="AS138" i="174"/>
  <c r="AS37" i="174"/>
  <c r="AS131" i="174"/>
  <c r="AS33" i="166"/>
  <c r="AG22" i="176"/>
  <c r="AG27" i="176"/>
  <c r="AG29" i="176" s="1"/>
  <c r="AT32" i="172"/>
  <c r="AS134" i="172"/>
  <c r="AS133" i="172"/>
  <c r="AS137" i="172"/>
  <c r="AT32" i="170"/>
  <c r="AS134" i="170"/>
  <c r="AS133" i="170"/>
  <c r="AS137" i="170"/>
  <c r="AK18" i="139"/>
  <c r="AT36" i="168" l="1"/>
  <c r="AH40" i="183"/>
  <c r="AS137" i="174"/>
  <c r="AS133" i="174"/>
  <c r="AT32" i="174"/>
  <c r="AS134" i="174"/>
  <c r="AS31" i="166"/>
  <c r="AS132" i="166"/>
  <c r="AS139" i="172"/>
  <c r="AT30" i="172"/>
  <c r="AS139" i="170"/>
  <c r="AT30" i="170"/>
  <c r="R18" i="139"/>
  <c r="R19" i="139"/>
  <c r="AJ18" i="139"/>
  <c r="R19" i="144"/>
  <c r="R18" i="144"/>
  <c r="AT33" i="168" l="1"/>
  <c r="AS139" i="174"/>
  <c r="AT30" i="174"/>
  <c r="AS138" i="166"/>
  <c r="AS131" i="166"/>
  <c r="AS37" i="166"/>
  <c r="AT36" i="172"/>
  <c r="AH36" i="183"/>
  <c r="AT36" i="170"/>
  <c r="AH35" i="183"/>
  <c r="AT19" i="144"/>
  <c r="AT31" i="168" l="1"/>
  <c r="AT132" i="168"/>
  <c r="AT36" i="174"/>
  <c r="AH38" i="183"/>
  <c r="AS133" i="166"/>
  <c r="AS137" i="166"/>
  <c r="AT32" i="166"/>
  <c r="AS134" i="166"/>
  <c r="AT33" i="172"/>
  <c r="AT33" i="170"/>
  <c r="M11" i="139"/>
  <c r="P23" i="139" s="1"/>
  <c r="Q23" i="139" s="1"/>
  <c r="R23" i="139" s="1"/>
  <c r="S23" i="139" s="1"/>
  <c r="T23" i="139" s="1"/>
  <c r="U23" i="139" s="1"/>
  <c r="V23" i="139" s="1"/>
  <c r="W23" i="139" s="1"/>
  <c r="X23" i="139" s="1"/>
  <c r="Y23" i="139" s="1"/>
  <c r="Z23" i="139" s="1"/>
  <c r="AA23" i="139" s="1"/>
  <c r="AB23" i="139" s="1"/>
  <c r="AC23" i="139" s="1"/>
  <c r="AD23" i="139" s="1"/>
  <c r="AE23" i="139" s="1"/>
  <c r="AF23" i="139" s="1"/>
  <c r="AG23" i="139" s="1"/>
  <c r="AH23" i="139" s="1"/>
  <c r="AI23" i="139" s="1"/>
  <c r="AJ23" i="139" s="1"/>
  <c r="AK23" i="139" s="1"/>
  <c r="AL23" i="139" s="1"/>
  <c r="AM23" i="139" s="1"/>
  <c r="AN23" i="139" s="1"/>
  <c r="AO23" i="139" s="1"/>
  <c r="AT138" i="168" l="1"/>
  <c r="AT37" i="168"/>
  <c r="AT131" i="168"/>
  <c r="AT33" i="174"/>
  <c r="AT30" i="166"/>
  <c r="AS139" i="166"/>
  <c r="AT31" i="172"/>
  <c r="AT132" i="172"/>
  <c r="AT31" i="170"/>
  <c r="AT132" i="170"/>
  <c r="S19" i="139"/>
  <c r="S18" i="144"/>
  <c r="S19" i="144"/>
  <c r="S18" i="139"/>
  <c r="AT133" i="168" l="1"/>
  <c r="AT137" i="168"/>
  <c r="AU32" i="168"/>
  <c r="AT134" i="168"/>
  <c r="AT31" i="174"/>
  <c r="AT132" i="174"/>
  <c r="AH37" i="183"/>
  <c r="AH42" i="183" s="1"/>
  <c r="AH18" i="176"/>
  <c r="AT36" i="166"/>
  <c r="AT138" i="172"/>
  <c r="AT37" i="172"/>
  <c r="AT131" i="172"/>
  <c r="AT138" i="170"/>
  <c r="AT131" i="170"/>
  <c r="AT37" i="170"/>
  <c r="AU19" i="144"/>
  <c r="AU30" i="168" l="1"/>
  <c r="AT139" i="168"/>
  <c r="AT138" i="174"/>
  <c r="AT37" i="174"/>
  <c r="AT131" i="174"/>
  <c r="AH27" i="176"/>
  <c r="AH29" i="176" s="1"/>
  <c r="AH22" i="176"/>
  <c r="AT33" i="166"/>
  <c r="AT137" i="172"/>
  <c r="AT133" i="172"/>
  <c r="AU32" i="172"/>
  <c r="AT134" i="172"/>
  <c r="AU32" i="170"/>
  <c r="AT134" i="170"/>
  <c r="AT133" i="170"/>
  <c r="AT137" i="170"/>
  <c r="AU18" i="144"/>
  <c r="AI40" i="183" l="1"/>
  <c r="AU36" i="168"/>
  <c r="AT133" i="174"/>
  <c r="AT137" i="174"/>
  <c r="AU32" i="174"/>
  <c r="AT134" i="174"/>
  <c r="AT31" i="166"/>
  <c r="AT132" i="166"/>
  <c r="AU30" i="172"/>
  <c r="AT139" i="172"/>
  <c r="AT139" i="170"/>
  <c r="AU30" i="170"/>
  <c r="T18" i="144"/>
  <c r="AT18" i="144"/>
  <c r="T19" i="139"/>
  <c r="T18" i="139"/>
  <c r="AF19" i="139"/>
  <c r="T19" i="144"/>
  <c r="AU33" i="168" l="1"/>
  <c r="AU30" i="174"/>
  <c r="AT139" i="174"/>
  <c r="AT138" i="166"/>
  <c r="AT131" i="166"/>
  <c r="AT37" i="166"/>
  <c r="AI36" i="183"/>
  <c r="AU36" i="172"/>
  <c r="AU36" i="170"/>
  <c r="AI35" i="183"/>
  <c r="AG19" i="139"/>
  <c r="AU31" i="168" l="1"/>
  <c r="AU132" i="168"/>
  <c r="AI38" i="183"/>
  <c r="AU36" i="174"/>
  <c r="AU32" i="166"/>
  <c r="AT134" i="166"/>
  <c r="AT137" i="166"/>
  <c r="AT133" i="166"/>
  <c r="AU33" i="172"/>
  <c r="AU33" i="170"/>
  <c r="AE19" i="139"/>
  <c r="AU138" i="168" l="1"/>
  <c r="AU131" i="168"/>
  <c r="AU37" i="168"/>
  <c r="AU33" i="174"/>
  <c r="AT139" i="166"/>
  <c r="AU30" i="166"/>
  <c r="AU31" i="172"/>
  <c r="AU132" i="172"/>
  <c r="AU31" i="170"/>
  <c r="AU132" i="170"/>
  <c r="AE18" i="139"/>
  <c r="AI19" i="139"/>
  <c r="AF18" i="139"/>
  <c r="AH18" i="139"/>
  <c r="AV32" i="168" l="1"/>
  <c r="AU134" i="168"/>
  <c r="AU133" i="168"/>
  <c r="AU137" i="168"/>
  <c r="AU31" i="174"/>
  <c r="AU132" i="174"/>
  <c r="AU36" i="166"/>
  <c r="AI37" i="183"/>
  <c r="AI42" i="183" s="1"/>
  <c r="AI18" i="176"/>
  <c r="AU138" i="172"/>
  <c r="AU37" i="172"/>
  <c r="AU131" i="172"/>
  <c r="AU138" i="170"/>
  <c r="AU131" i="170"/>
  <c r="AU37" i="170"/>
  <c r="AG18" i="139"/>
  <c r="AH19" i="139"/>
  <c r="AU139" i="168" l="1"/>
  <c r="AV30" i="168"/>
  <c r="AU138" i="174"/>
  <c r="AU37" i="174"/>
  <c r="AU131" i="174"/>
  <c r="AI27" i="176"/>
  <c r="AI29" i="176" s="1"/>
  <c r="AI22" i="176"/>
  <c r="AU33" i="166"/>
  <c r="AI49" i="183"/>
  <c r="AI51" i="183" s="1"/>
  <c r="AI44" i="183"/>
  <c r="AU137" i="172"/>
  <c r="AU133" i="172"/>
  <c r="AV32" i="172"/>
  <c r="AU134" i="172"/>
  <c r="AU133" i="170"/>
  <c r="AU137" i="170"/>
  <c r="AV32" i="170"/>
  <c r="AU134" i="170"/>
  <c r="AI18" i="139"/>
  <c r="AV36" i="168" l="1"/>
  <c r="AJ40" i="183"/>
  <c r="AU133" i="174"/>
  <c r="AU137" i="174"/>
  <c r="AV32" i="174"/>
  <c r="AU134" i="174"/>
  <c r="AU31" i="166"/>
  <c r="AU132" i="166"/>
  <c r="AU138" i="166" s="1"/>
  <c r="AV30" i="172"/>
  <c r="AU139" i="172"/>
  <c r="AV30" i="170"/>
  <c r="AU139" i="170"/>
  <c r="U18" i="144"/>
  <c r="U19" i="144"/>
  <c r="AV33" i="168" l="1"/>
  <c r="AV30" i="174"/>
  <c r="AU139" i="174"/>
  <c r="AU131" i="166"/>
  <c r="AU37" i="166"/>
  <c r="AJ36" i="183"/>
  <c r="AV36" i="172"/>
  <c r="AV33" i="172" s="1"/>
  <c r="AJ35" i="183"/>
  <c r="AV36" i="170"/>
  <c r="U18" i="139"/>
  <c r="U19" i="139"/>
  <c r="AV31" i="168" l="1"/>
  <c r="AV132" i="168"/>
  <c r="AV138" i="168" s="1"/>
  <c r="AJ38" i="183"/>
  <c r="AV36" i="174"/>
  <c r="AV32" i="166"/>
  <c r="AU134" i="166"/>
  <c r="AU137" i="166"/>
  <c r="AU133" i="166"/>
  <c r="AV31" i="172"/>
  <c r="AV132" i="172"/>
  <c r="AV138" i="172" s="1"/>
  <c r="AV33" i="170"/>
  <c r="V18" i="144"/>
  <c r="V19" i="144"/>
  <c r="AV131" i="168" l="1"/>
  <c r="AV37" i="168"/>
  <c r="AV33" i="174"/>
  <c r="AU139" i="166"/>
  <c r="AV30" i="166"/>
  <c r="AV37" i="172"/>
  <c r="AV131" i="172"/>
  <c r="AV31" i="170"/>
  <c r="AV132" i="170"/>
  <c r="AV138" i="170" s="1"/>
  <c r="V19" i="139"/>
  <c r="AQ18" i="144"/>
  <c r="V18" i="139"/>
  <c r="AO18" i="144"/>
  <c r="AW32" i="168" l="1"/>
  <c r="AV134" i="168"/>
  <c r="AV137" i="168"/>
  <c r="AV133" i="168"/>
  <c r="AV139" i="168" s="1"/>
  <c r="AK40" i="183" s="1"/>
  <c r="AV31" i="174"/>
  <c r="AV132" i="174"/>
  <c r="AV138" i="174" s="1"/>
  <c r="AV36" i="166"/>
  <c r="AJ37" i="183"/>
  <c r="AJ42" i="183" s="1"/>
  <c r="AJ18" i="176"/>
  <c r="AV137" i="172"/>
  <c r="AV133" i="172"/>
  <c r="AV139" i="172" s="1"/>
  <c r="AK36" i="183" s="1"/>
  <c r="AW32" i="172"/>
  <c r="AV134" i="172"/>
  <c r="AV131" i="170"/>
  <c r="AV37" i="170"/>
  <c r="AP18" i="144"/>
  <c r="AW30" i="168" l="1"/>
  <c r="AV131" i="174"/>
  <c r="AV37" i="174"/>
  <c r="AV33" i="166"/>
  <c r="AJ22" i="176"/>
  <c r="AJ27" i="176"/>
  <c r="AJ29" i="176" s="1"/>
  <c r="AW30" i="172"/>
  <c r="AW32" i="170"/>
  <c r="AV134" i="170"/>
  <c r="AV133" i="170"/>
  <c r="AV139" i="170" s="1"/>
  <c r="AV137" i="170"/>
  <c r="AO19" i="144"/>
  <c r="AP19" i="144"/>
  <c r="AR18" i="144"/>
  <c r="AW36" i="168" l="1"/>
  <c r="AW32" i="174"/>
  <c r="AV134" i="174"/>
  <c r="AV133" i="174"/>
  <c r="AV139" i="174" s="1"/>
  <c r="AK38" i="183" s="1"/>
  <c r="AV137" i="174"/>
  <c r="AV31" i="166"/>
  <c r="AV132" i="166"/>
  <c r="AV138" i="166" s="1"/>
  <c r="AW36" i="172"/>
  <c r="AW33" i="172" s="1"/>
  <c r="AK35" i="183"/>
  <c r="AW30" i="170"/>
  <c r="AS19" i="144"/>
  <c r="AS18" i="144"/>
  <c r="AW33" i="168" l="1"/>
  <c r="AW30" i="174"/>
  <c r="AV131" i="166"/>
  <c r="AV37" i="166"/>
  <c r="AW31" i="172"/>
  <c r="AW132" i="172"/>
  <c r="AW138" i="172" s="1"/>
  <c r="AW36" i="170"/>
  <c r="W18" i="139"/>
  <c r="W19" i="144"/>
  <c r="W18" i="144"/>
  <c r="W19" i="139"/>
  <c r="AW31" i="168" l="1"/>
  <c r="AW132" i="168"/>
  <c r="AW138" i="168" s="1"/>
  <c r="AW36" i="174"/>
  <c r="AW33" i="174" s="1"/>
  <c r="AW32" i="166"/>
  <c r="AV134" i="166"/>
  <c r="AV133" i="166"/>
  <c r="AV139" i="166" s="1"/>
  <c r="AV137" i="166"/>
  <c r="AW37" i="172"/>
  <c r="AW131" i="172"/>
  <c r="AW33" i="170"/>
  <c r="AQ19" i="144"/>
  <c r="AW131" i="168" l="1"/>
  <c r="AW37" i="168"/>
  <c r="AW31" i="174"/>
  <c r="AW132" i="174"/>
  <c r="AW138" i="174" s="1"/>
  <c r="AK37" i="183"/>
  <c r="AK42" i="183" s="1"/>
  <c r="AK18" i="176"/>
  <c r="AW30" i="166"/>
  <c r="AW137" i="172"/>
  <c r="AW133" i="172"/>
  <c r="AW139" i="172" s="1"/>
  <c r="AL36" i="183" s="1"/>
  <c r="AX32" i="172"/>
  <c r="AW134" i="172"/>
  <c r="AW31" i="170"/>
  <c r="AW132" i="170"/>
  <c r="AW138" i="170" s="1"/>
  <c r="X19" i="139"/>
  <c r="X18" i="139"/>
  <c r="X18" i="144"/>
  <c r="X19" i="144"/>
  <c r="AX32" i="168" l="1"/>
  <c r="AW134" i="168"/>
  <c r="AW133" i="168"/>
  <c r="AW139" i="168" s="1"/>
  <c r="AL40" i="183" s="1"/>
  <c r="AW137" i="168"/>
  <c r="AW37" i="174"/>
  <c r="AW131" i="174"/>
  <c r="AW36" i="166"/>
  <c r="AK22" i="176"/>
  <c r="AK27" i="176"/>
  <c r="AK29" i="176" s="1"/>
  <c r="AX30" i="172"/>
  <c r="AW131" i="170"/>
  <c r="AW37" i="170"/>
  <c r="AR19" i="144"/>
  <c r="AX30" i="168" l="1"/>
  <c r="AW133" i="174"/>
  <c r="AW139" i="174" s="1"/>
  <c r="AL38" i="183" s="1"/>
  <c r="AW137" i="174"/>
  <c r="AX32" i="174"/>
  <c r="AW134" i="174"/>
  <c r="AW33" i="166"/>
  <c r="AX36" i="172"/>
  <c r="AX33" i="172" s="1"/>
  <c r="AX32" i="170"/>
  <c r="AW134" i="170"/>
  <c r="AW137" i="170"/>
  <c r="AW133" i="170"/>
  <c r="AW139" i="170" s="1"/>
  <c r="Y18" i="139"/>
  <c r="Y19" i="139"/>
  <c r="AX36" i="168" l="1"/>
  <c r="AX33" i="168" s="1"/>
  <c r="AX30" i="174"/>
  <c r="AW31" i="166"/>
  <c r="AW132" i="166"/>
  <c r="AW138" i="166" s="1"/>
  <c r="AX31" i="172"/>
  <c r="AX132" i="172"/>
  <c r="AX138" i="172" s="1"/>
  <c r="AL35" i="183"/>
  <c r="AX30" i="170"/>
  <c r="Y18" i="144"/>
  <c r="Y19" i="144"/>
  <c r="AX31" i="168" l="1"/>
  <c r="AX132" i="168"/>
  <c r="AX138" i="168" s="1"/>
  <c r="AX36" i="174"/>
  <c r="AW131" i="166"/>
  <c r="AW37" i="166"/>
  <c r="AX37" i="172"/>
  <c r="AX131" i="172"/>
  <c r="AX36" i="170"/>
  <c r="Z19" i="139"/>
  <c r="Z18" i="139"/>
  <c r="AX37" i="168" l="1"/>
  <c r="AX131" i="168"/>
  <c r="AX33" i="174"/>
  <c r="AX32" i="166"/>
  <c r="AW134" i="166"/>
  <c r="AW133" i="166"/>
  <c r="AW139" i="166" s="1"/>
  <c r="AW137" i="166"/>
  <c r="AX137" i="172"/>
  <c r="AX133" i="172"/>
  <c r="AX139" i="172" s="1"/>
  <c r="AM36" i="183" s="1"/>
  <c r="AY32" i="172"/>
  <c r="AX134" i="172"/>
  <c r="AX33" i="170"/>
  <c r="Z18" i="144"/>
  <c r="Z19" i="144"/>
  <c r="AX133" i="168" l="1"/>
  <c r="AX139" i="168" s="1"/>
  <c r="AM40" i="183" s="1"/>
  <c r="AX137" i="168"/>
  <c r="AY32" i="168"/>
  <c r="AX134" i="168"/>
  <c r="AX31" i="174"/>
  <c r="AX132" i="174"/>
  <c r="AX138" i="174" s="1"/>
  <c r="AL37" i="183"/>
  <c r="AL42" i="183" s="1"/>
  <c r="AL18" i="176"/>
  <c r="AX30" i="166"/>
  <c r="AY30" i="172"/>
  <c r="B32" i="172"/>
  <c r="AX31" i="170"/>
  <c r="AX132" i="170"/>
  <c r="AX138" i="170" s="1"/>
  <c r="AA19" i="139"/>
  <c r="AA18" i="144"/>
  <c r="AA18" i="139"/>
  <c r="AA19" i="144"/>
  <c r="AY30" i="168" l="1"/>
  <c r="B32" i="168"/>
  <c r="AX131" i="174"/>
  <c r="AX37" i="174"/>
  <c r="AX36" i="166"/>
  <c r="AX33" i="166" s="1"/>
  <c r="AL22" i="176"/>
  <c r="AL27" i="176"/>
  <c r="AL29" i="176" s="1"/>
  <c r="AL44" i="183"/>
  <c r="AL49" i="183"/>
  <c r="AL51" i="183" s="1"/>
  <c r="AY36" i="172"/>
  <c r="B30" i="172"/>
  <c r="AX131" i="170"/>
  <c r="AX37" i="170"/>
  <c r="AB19" i="144"/>
  <c r="AB19" i="139"/>
  <c r="AB18" i="144"/>
  <c r="AB18" i="139"/>
  <c r="B30" i="168" l="1"/>
  <c r="AY36" i="168"/>
  <c r="AY32" i="174"/>
  <c r="AX134" i="174"/>
  <c r="AX137" i="174"/>
  <c r="AX133" i="174"/>
  <c r="AX139" i="174" s="1"/>
  <c r="AM38" i="183" s="1"/>
  <c r="AX31" i="166"/>
  <c r="AX132" i="166"/>
  <c r="AX138" i="166" s="1"/>
  <c r="AY33" i="172"/>
  <c r="B36" i="172"/>
  <c r="AY32" i="170"/>
  <c r="AX134" i="170"/>
  <c r="AX137" i="170"/>
  <c r="AX133" i="170"/>
  <c r="AX139" i="170" s="1"/>
  <c r="AC19" i="144"/>
  <c r="AC18" i="144"/>
  <c r="AC18" i="139"/>
  <c r="AC19" i="139"/>
  <c r="AY33" i="168" l="1"/>
  <c r="B36" i="168"/>
  <c r="AY30" i="174"/>
  <c r="B32" i="174"/>
  <c r="AX37" i="166"/>
  <c r="AX131" i="166"/>
  <c r="AY31" i="172"/>
  <c r="B33" i="172"/>
  <c r="AY132" i="172"/>
  <c r="AM35" i="183"/>
  <c r="AY30" i="170"/>
  <c r="B32" i="170"/>
  <c r="AD18" i="144"/>
  <c r="AD19" i="144"/>
  <c r="AY31" i="168" l="1"/>
  <c r="B33" i="168"/>
  <c r="AY132" i="168"/>
  <c r="B30" i="174"/>
  <c r="AY36" i="174"/>
  <c r="AX133" i="166"/>
  <c r="AX139" i="166" s="1"/>
  <c r="AX137" i="166"/>
  <c r="AY32" i="166"/>
  <c r="AX134" i="166"/>
  <c r="AY138" i="172"/>
  <c r="B138" i="172" s="1"/>
  <c r="B132" i="172"/>
  <c r="AY37" i="172"/>
  <c r="B31" i="172"/>
  <c r="AY131" i="172"/>
  <c r="B30" i="170"/>
  <c r="AY36" i="170"/>
  <c r="AD18" i="139"/>
  <c r="AD19" i="139"/>
  <c r="AY138" i="168" l="1"/>
  <c r="B138" i="168" s="1"/>
  <c r="B132" i="168"/>
  <c r="AY37" i="168"/>
  <c r="B31" i="168"/>
  <c r="AY131" i="168"/>
  <c r="AY33" i="174"/>
  <c r="B36" i="174"/>
  <c r="AY30" i="166"/>
  <c r="B32" i="166"/>
  <c r="AM37" i="183"/>
  <c r="AM42" i="183" s="1"/>
  <c r="AM18" i="176"/>
  <c r="AY133" i="172"/>
  <c r="AY137" i="172"/>
  <c r="B137" i="172" s="1"/>
  <c r="B131" i="172"/>
  <c r="AY134" i="172"/>
  <c r="B37" i="172"/>
  <c r="AY33" i="170"/>
  <c r="B36" i="170"/>
  <c r="N19" i="139"/>
  <c r="E13" i="139" s="1"/>
  <c r="K13" i="139" s="1"/>
  <c r="P13" i="139" s="1"/>
  <c r="M19" i="139"/>
  <c r="M18" i="139"/>
  <c r="N18" i="139"/>
  <c r="AY137" i="168" l="1"/>
  <c r="B137" i="168" s="1"/>
  <c r="AY133" i="168"/>
  <c r="B131" i="168"/>
  <c r="AY134" i="168"/>
  <c r="B37" i="168"/>
  <c r="AY31" i="174"/>
  <c r="B33" i="174"/>
  <c r="AY132" i="174"/>
  <c r="AM44" i="183"/>
  <c r="AM49" i="183"/>
  <c r="AM51" i="183" s="1"/>
  <c r="AM22" i="176"/>
  <c r="AM27" i="176"/>
  <c r="AM29" i="176" s="1"/>
  <c r="AY36" i="166"/>
  <c r="B30" i="166"/>
  <c r="AY139" i="172"/>
  <c r="B133" i="172"/>
  <c r="AY31" i="170"/>
  <c r="B33" i="170"/>
  <c r="AY132" i="170"/>
  <c r="E12" i="139"/>
  <c r="N20" i="139"/>
  <c r="M20" i="139"/>
  <c r="P15" i="139"/>
  <c r="Q13" i="139"/>
  <c r="AY139" i="168" l="1"/>
  <c r="B133" i="168"/>
  <c r="AY138" i="174"/>
  <c r="B138" i="174" s="1"/>
  <c r="B132" i="174"/>
  <c r="B31" i="174"/>
  <c r="AY131" i="174"/>
  <c r="AY37" i="174"/>
  <c r="AY33" i="166"/>
  <c r="B36" i="166"/>
  <c r="AN36" i="183"/>
  <c r="D13" i="185"/>
  <c r="B139" i="172"/>
  <c r="AY138" i="170"/>
  <c r="B138" i="170" s="1"/>
  <c r="B132" i="170"/>
  <c r="AY37" i="170"/>
  <c r="B31" i="170"/>
  <c r="AY131" i="170"/>
  <c r="AE18" i="144"/>
  <c r="P28" i="139"/>
  <c r="AE19" i="144"/>
  <c r="R13" i="139"/>
  <c r="Q15" i="139"/>
  <c r="K12" i="139"/>
  <c r="E14" i="139"/>
  <c r="AN40" i="183" l="1"/>
  <c r="D17" i="185"/>
  <c r="B139" i="168"/>
  <c r="AY134" i="174"/>
  <c r="B37" i="174"/>
  <c r="AY133" i="174"/>
  <c r="AY137" i="174"/>
  <c r="B137" i="174" s="1"/>
  <c r="B131" i="174"/>
  <c r="AY31" i="166"/>
  <c r="B33" i="166"/>
  <c r="AY132" i="166"/>
  <c r="AY133" i="170"/>
  <c r="AY137" i="170"/>
  <c r="B137" i="170" s="1"/>
  <c r="B131" i="170"/>
  <c r="AY134" i="170"/>
  <c r="B37" i="170"/>
  <c r="Q28" i="139"/>
  <c r="Q32" i="139" s="1"/>
  <c r="S13" i="139"/>
  <c r="R15" i="139"/>
  <c r="P32" i="139"/>
  <c r="P12" i="139"/>
  <c r="K14" i="139"/>
  <c r="AY139" i="174" l="1"/>
  <c r="B133" i="174"/>
  <c r="AY138" i="166"/>
  <c r="B138" i="166" s="1"/>
  <c r="B132" i="166"/>
  <c r="AY37" i="166"/>
  <c r="B31" i="166"/>
  <c r="AY131" i="166"/>
  <c r="AY139" i="170"/>
  <c r="B133" i="170"/>
  <c r="R28" i="139"/>
  <c r="S15" i="139"/>
  <c r="T13" i="139"/>
  <c r="Q12" i="139"/>
  <c r="P14" i="139"/>
  <c r="AN38" i="183" l="1"/>
  <c r="D15" i="185"/>
  <c r="B139" i="174"/>
  <c r="AY133" i="166"/>
  <c r="AY137" i="166"/>
  <c r="B137" i="166" s="1"/>
  <c r="B131" i="166"/>
  <c r="AY134" i="166"/>
  <c r="B37" i="166"/>
  <c r="AN35" i="183"/>
  <c r="D12" i="185"/>
  <c r="B139" i="170"/>
  <c r="S28" i="139"/>
  <c r="S32" i="139" s="1"/>
  <c r="U13" i="139"/>
  <c r="T15" i="139"/>
  <c r="P27" i="139"/>
  <c r="P22" i="139"/>
  <c r="R12" i="139"/>
  <c r="Q14" i="139"/>
  <c r="R32" i="139"/>
  <c r="AY139" i="166" l="1"/>
  <c r="AN18" i="176" s="1"/>
  <c r="B133" i="166"/>
  <c r="Q27" i="139"/>
  <c r="Q29" i="139" s="1"/>
  <c r="Q22" i="139"/>
  <c r="P31" i="139"/>
  <c r="P33" i="139" s="1"/>
  <c r="P29" i="139"/>
  <c r="T28" i="139"/>
  <c r="V13" i="139"/>
  <c r="U15" i="139"/>
  <c r="R14" i="139"/>
  <c r="S12" i="139"/>
  <c r="AN22" i="176" l="1"/>
  <c r="AN27" i="176"/>
  <c r="AN29" i="176" s="1"/>
  <c r="AN37" i="183"/>
  <c r="AN42" i="183" s="1"/>
  <c r="D14" i="185"/>
  <c r="D8" i="185" s="1"/>
  <c r="B139" i="166"/>
  <c r="Q31" i="139"/>
  <c r="Q33" i="139" s="1"/>
  <c r="U28" i="139"/>
  <c r="U32" i="139" s="1"/>
  <c r="W13" i="139"/>
  <c r="V15" i="139"/>
  <c r="T32" i="139"/>
  <c r="T12" i="139"/>
  <c r="S14" i="139"/>
  <c r="R27" i="139"/>
  <c r="R22" i="139"/>
  <c r="AN49" i="183" l="1"/>
  <c r="AN51" i="183" s="1"/>
  <c r="AN44" i="183"/>
  <c r="AF18" i="144"/>
  <c r="R29" i="139"/>
  <c r="R31" i="139"/>
  <c r="R33" i="139" s="1"/>
  <c r="V28" i="139"/>
  <c r="X13" i="139"/>
  <c r="W15" i="139"/>
  <c r="S27" i="139"/>
  <c r="S31" i="139" s="1"/>
  <c r="S33" i="139" s="1"/>
  <c r="S22" i="139"/>
  <c r="U12" i="139"/>
  <c r="T14" i="139"/>
  <c r="AF19" i="144"/>
  <c r="W28" i="139" l="1"/>
  <c r="Y13" i="139"/>
  <c r="X15" i="139"/>
  <c r="T27" i="139"/>
  <c r="T22" i="139"/>
  <c r="S29" i="139"/>
  <c r="V32" i="139"/>
  <c r="V12" i="139"/>
  <c r="U14" i="139"/>
  <c r="T29" i="139" l="1"/>
  <c r="T31" i="139"/>
  <c r="T33" i="139" s="1"/>
  <c r="X28" i="139"/>
  <c r="Y15" i="139"/>
  <c r="Z13" i="139"/>
  <c r="U27" i="139"/>
  <c r="U31" i="139" s="1"/>
  <c r="U33" i="139" s="1"/>
  <c r="U22" i="139"/>
  <c r="W12" i="139"/>
  <c r="V14" i="139"/>
  <c r="W32" i="139"/>
  <c r="V27" i="139" l="1"/>
  <c r="V31" i="139" s="1"/>
  <c r="V33" i="139" s="1"/>
  <c r="V22" i="139"/>
  <c r="Y28" i="139"/>
  <c r="Y32" i="139" s="1"/>
  <c r="X12" i="139"/>
  <c r="W14" i="139"/>
  <c r="U29" i="139"/>
  <c r="AA13" i="139"/>
  <c r="Z15" i="139"/>
  <c r="X32" i="139"/>
  <c r="X14" i="139" l="1"/>
  <c r="Y12" i="139"/>
  <c r="W27" i="139"/>
  <c r="W22" i="139"/>
  <c r="AB13" i="139"/>
  <c r="AA15" i="139"/>
  <c r="Z28" i="139"/>
  <c r="Z32" i="139" s="1"/>
  <c r="V29" i="139"/>
  <c r="AA28" i="139" l="1"/>
  <c r="AA32" i="139" s="1"/>
  <c r="X27" i="139"/>
  <c r="X22" i="139"/>
  <c r="AC13" i="139"/>
  <c r="AB15" i="139"/>
  <c r="W31" i="139"/>
  <c r="W33" i="139" s="1"/>
  <c r="W29" i="139"/>
  <c r="Z12" i="139"/>
  <c r="Y14" i="139"/>
  <c r="AG19" i="144" l="1"/>
  <c r="Z14" i="139"/>
  <c r="AA12" i="139"/>
  <c r="AC15" i="139"/>
  <c r="AD13" i="139"/>
  <c r="X29" i="139"/>
  <c r="X31" i="139"/>
  <c r="X33" i="139" s="1"/>
  <c r="Y27" i="139"/>
  <c r="Y22" i="139"/>
  <c r="AB28" i="139"/>
  <c r="AB32" i="139" s="1"/>
  <c r="AG18" i="144"/>
  <c r="AC28" i="139" l="1"/>
  <c r="AC32" i="139" s="1"/>
  <c r="Z27" i="139"/>
  <c r="Z22" i="139"/>
  <c r="AE13" i="139"/>
  <c r="AD15" i="139"/>
  <c r="AA14" i="139"/>
  <c r="AB12" i="139"/>
  <c r="Y29" i="139"/>
  <c r="Y31" i="139"/>
  <c r="Y33" i="139" s="1"/>
  <c r="AE15" i="139" l="1"/>
  <c r="AF13" i="139"/>
  <c r="Z29" i="139"/>
  <c r="Z31" i="139"/>
  <c r="Z33" i="139" s="1"/>
  <c r="AB14" i="139"/>
  <c r="AC12" i="139"/>
  <c r="AD28" i="139"/>
  <c r="AD32" i="139" s="1"/>
  <c r="AA27" i="139"/>
  <c r="AA22" i="139"/>
  <c r="AB27" i="139" l="1"/>
  <c r="AB22" i="139"/>
  <c r="AA31" i="139"/>
  <c r="AA33" i="139" s="1"/>
  <c r="AA29" i="139"/>
  <c r="AG13" i="139"/>
  <c r="AF15" i="139"/>
  <c r="AE28" i="139"/>
  <c r="AE32" i="139" s="1"/>
  <c r="AD12" i="139"/>
  <c r="AC14" i="139"/>
  <c r="AC27" i="139" l="1"/>
  <c r="AC22" i="139"/>
  <c r="AE12" i="139"/>
  <c r="AD14" i="139"/>
  <c r="AH13" i="139"/>
  <c r="AG15" i="139"/>
  <c r="AF28" i="139"/>
  <c r="AF32" i="139" s="1"/>
  <c r="AB31" i="139"/>
  <c r="AB33" i="139" s="1"/>
  <c r="AB29" i="139"/>
  <c r="AG28" i="139" l="1"/>
  <c r="AI13" i="139"/>
  <c r="AH15" i="139"/>
  <c r="AD27" i="139"/>
  <c r="AD22" i="139"/>
  <c r="AE14" i="139"/>
  <c r="AF12" i="139"/>
  <c r="AC31" i="139"/>
  <c r="AC33" i="139" s="1"/>
  <c r="AC29" i="139"/>
  <c r="AD31" i="139" l="1"/>
  <c r="AD33" i="139" s="1"/>
  <c r="AD29" i="139"/>
  <c r="AG32" i="139"/>
  <c r="AH28" i="139"/>
  <c r="AI15" i="139"/>
  <c r="AJ13" i="139"/>
  <c r="AG12" i="139"/>
  <c r="AF14" i="139"/>
  <c r="AH18" i="144"/>
  <c r="AE27" i="139"/>
  <c r="AE22" i="139"/>
  <c r="AH19" i="144"/>
  <c r="AE31" i="139" l="1"/>
  <c r="AE33" i="139" s="1"/>
  <c r="AE29" i="139"/>
  <c r="AK13" i="139"/>
  <c r="AJ15" i="139"/>
  <c r="AI28" i="139"/>
  <c r="AI32" i="139" s="1"/>
  <c r="AF27" i="139"/>
  <c r="AF22" i="139"/>
  <c r="AH32" i="139"/>
  <c r="AG14" i="139"/>
  <c r="AH12" i="139"/>
  <c r="AF29" i="139" l="1"/>
  <c r="AF31" i="139"/>
  <c r="AF33" i="139" s="1"/>
  <c r="AG27" i="139"/>
  <c r="AG22" i="139"/>
  <c r="AL13" i="139"/>
  <c r="AK15" i="139"/>
  <c r="AI12" i="139"/>
  <c r="AH14" i="139"/>
  <c r="AJ28" i="139"/>
  <c r="AJ32" i="139" s="1"/>
  <c r="AL15" i="139" l="1"/>
  <c r="AM13" i="139"/>
  <c r="AH27" i="139"/>
  <c r="AH22" i="139"/>
  <c r="AK28" i="139"/>
  <c r="AK32" i="139" s="1"/>
  <c r="AG31" i="139"/>
  <c r="AG33" i="139" s="1"/>
  <c r="AG29" i="139"/>
  <c r="AJ12" i="139"/>
  <c r="AI14" i="139"/>
  <c r="AI27" i="139" l="1"/>
  <c r="AI22" i="139"/>
  <c r="AJ14" i="139"/>
  <c r="AK12" i="139"/>
  <c r="AH31" i="139"/>
  <c r="AH33" i="139" s="1"/>
  <c r="AH29" i="139"/>
  <c r="AM15" i="139"/>
  <c r="AN13" i="139"/>
  <c r="AL28" i="139"/>
  <c r="AL32" i="139" s="1"/>
  <c r="AM28" i="139" l="1"/>
  <c r="AM32" i="139" s="1"/>
  <c r="AN15" i="139"/>
  <c r="AO13" i="139"/>
  <c r="AO15" i="139" s="1"/>
  <c r="AK14" i="139"/>
  <c r="AL12" i="139"/>
  <c r="AJ27" i="139"/>
  <c r="AJ22" i="139"/>
  <c r="AI31" i="139"/>
  <c r="AI33" i="139" s="1"/>
  <c r="AI29" i="139"/>
  <c r="AI19" i="144" l="1"/>
  <c r="AI18" i="144"/>
  <c r="AO28" i="139"/>
  <c r="M15" i="139"/>
  <c r="N15" i="139"/>
  <c r="AJ29" i="139"/>
  <c r="AJ31" i="139"/>
  <c r="AJ33" i="139" s="1"/>
  <c r="AN28" i="139"/>
  <c r="AL14" i="139"/>
  <c r="AM12" i="139"/>
  <c r="AK27" i="139"/>
  <c r="AK22" i="139"/>
  <c r="AN12" i="139" l="1"/>
  <c r="AM14" i="139"/>
  <c r="AO32" i="139"/>
  <c r="AK29" i="139"/>
  <c r="AK31" i="139"/>
  <c r="AK33" i="139" s="1"/>
  <c r="AL27" i="139"/>
  <c r="AL22" i="139"/>
  <c r="AN32" i="139"/>
  <c r="AL31" i="139" l="1"/>
  <c r="AL33" i="139" s="1"/>
  <c r="AL29" i="139"/>
  <c r="AM27" i="139"/>
  <c r="AM22" i="139"/>
  <c r="AO12" i="139"/>
  <c r="AO14" i="139" s="1"/>
  <c r="AN14" i="139"/>
  <c r="AN27" i="139" l="1"/>
  <c r="AN22" i="139"/>
  <c r="AM29" i="139"/>
  <c r="AM31" i="139"/>
  <c r="AM33" i="139" s="1"/>
  <c r="AO27" i="139"/>
  <c r="M14" i="139"/>
  <c r="M16" i="139" s="1"/>
  <c r="N14" i="139"/>
  <c r="AO22" i="139"/>
  <c r="AO31" i="139" l="1"/>
  <c r="AO33" i="139" s="1"/>
  <c r="AO29" i="139"/>
  <c r="M22" i="139"/>
  <c r="N16" i="139"/>
  <c r="N22" i="139"/>
  <c r="AN31" i="139"/>
  <c r="AN33" i="139" s="1"/>
  <c r="AN29" i="139"/>
  <c r="AJ19" i="144" l="1"/>
  <c r="AJ18" i="144"/>
  <c r="AK19" i="144" l="1"/>
  <c r="AK18" i="144"/>
  <c r="AL18" i="144" l="1"/>
  <c r="AL19" i="144"/>
  <c r="AM18" i="144" l="1"/>
  <c r="AM19" i="144"/>
  <c r="AN19" i="144" l="1"/>
  <c r="AN18" i="144"/>
  <c r="M18" i="144" l="1"/>
  <c r="N18" i="144"/>
  <c r="N19" i="144"/>
  <c r="E13" i="144" s="1"/>
  <c r="K13" i="144" s="1"/>
  <c r="P13" i="144" s="1"/>
  <c r="M19" i="144"/>
  <c r="P15" i="144" l="1"/>
  <c r="Q13" i="144"/>
  <c r="N20" i="144"/>
  <c r="E12" i="144"/>
  <c r="M20" i="144"/>
  <c r="K12" i="144" l="1"/>
  <c r="E14" i="144"/>
  <c r="Q15" i="144"/>
  <c r="R13" i="144"/>
  <c r="P28" i="144"/>
  <c r="P32" i="144" l="1"/>
  <c r="R15" i="144"/>
  <c r="S13" i="144"/>
  <c r="Q28" i="144"/>
  <c r="Q32" i="144" s="1"/>
  <c r="K14" i="144"/>
  <c r="P12" i="144"/>
  <c r="R28" i="144" l="1"/>
  <c r="R32" i="144" s="1"/>
  <c r="Q12" i="144"/>
  <c r="P14" i="144"/>
  <c r="S15" i="144"/>
  <c r="T13" i="144"/>
  <c r="S28" i="144" l="1"/>
  <c r="S32" i="144" s="1"/>
  <c r="R12" i="144"/>
  <c r="Q14" i="144"/>
  <c r="P27" i="144"/>
  <c r="P22" i="144"/>
  <c r="T15" i="144"/>
  <c r="U13" i="144"/>
  <c r="P31" i="144" l="1"/>
  <c r="P33" i="144" s="1"/>
  <c r="P29" i="144"/>
  <c r="U15" i="144"/>
  <c r="V13" i="144"/>
  <c r="Q27" i="144"/>
  <c r="Q29" i="144" s="1"/>
  <c r="Q22" i="144"/>
  <c r="T28" i="144"/>
  <c r="S12" i="144"/>
  <c r="R14" i="144"/>
  <c r="T32" i="144" l="1"/>
  <c r="Q31" i="144"/>
  <c r="Q33" i="144" s="1"/>
  <c r="T12" i="144"/>
  <c r="S14" i="144"/>
  <c r="V15" i="144"/>
  <c r="W13" i="144"/>
  <c r="U28" i="144"/>
  <c r="U32" i="144" s="1"/>
  <c r="R27" i="144"/>
  <c r="R22" i="144"/>
  <c r="R29" i="144" l="1"/>
  <c r="R31" i="144"/>
  <c r="R33" i="144" s="1"/>
  <c r="V28" i="144"/>
  <c r="V32" i="144" s="1"/>
  <c r="S27" i="144"/>
  <c r="S31" i="144" s="1"/>
  <c r="S33" i="144" s="1"/>
  <c r="S22" i="144"/>
  <c r="U12" i="144"/>
  <c r="T14" i="144"/>
  <c r="X13" i="144"/>
  <c r="W15" i="144"/>
  <c r="U14" i="144" l="1"/>
  <c r="V12" i="144"/>
  <c r="T27" i="144"/>
  <c r="T22" i="144"/>
  <c r="S29" i="144"/>
  <c r="W28" i="144"/>
  <c r="W32" i="144" s="1"/>
  <c r="X15" i="144"/>
  <c r="Y13" i="144"/>
  <c r="T29" i="144" l="1"/>
  <c r="T31" i="144"/>
  <c r="T33" i="144" s="1"/>
  <c r="X28" i="144"/>
  <c r="X32" i="144" s="1"/>
  <c r="W12" i="144"/>
  <c r="V14" i="144"/>
  <c r="U27" i="144"/>
  <c r="U22" i="144"/>
  <c r="Y15" i="144"/>
  <c r="Z13" i="144"/>
  <c r="W14" i="144" l="1"/>
  <c r="X12" i="144"/>
  <c r="Z15" i="144"/>
  <c r="AA13" i="144"/>
  <c r="Y28" i="144"/>
  <c r="Y32" i="144" s="1"/>
  <c r="U29" i="144"/>
  <c r="U31" i="144"/>
  <c r="U33" i="144" s="1"/>
  <c r="V27" i="144"/>
  <c r="V22" i="144"/>
  <c r="AA15" i="144" l="1"/>
  <c r="AB13" i="144"/>
  <c r="Z28" i="144"/>
  <c r="Z32" i="144" s="1"/>
  <c r="Y12" i="144"/>
  <c r="X14" i="144"/>
  <c r="V29" i="144"/>
  <c r="V31" i="144"/>
  <c r="V33" i="144" s="1"/>
  <c r="W27" i="144"/>
  <c r="W22" i="144"/>
  <c r="W29" i="144" l="1"/>
  <c r="W31" i="144"/>
  <c r="W33" i="144" s="1"/>
  <c r="X27" i="144"/>
  <c r="X22" i="144"/>
  <c r="Y14" i="144"/>
  <c r="Z12" i="144"/>
  <c r="AB15" i="144"/>
  <c r="AC13" i="144"/>
  <c r="AA28" i="144"/>
  <c r="AA32" i="144" s="1"/>
  <c r="Y27" i="144" l="1"/>
  <c r="Y22" i="144"/>
  <c r="AB28" i="144"/>
  <c r="AB32" i="144" s="1"/>
  <c r="X29" i="144"/>
  <c r="X31" i="144"/>
  <c r="X33" i="144" s="1"/>
  <c r="AD13" i="144"/>
  <c r="AC15" i="144"/>
  <c r="Z14" i="144"/>
  <c r="AA12" i="144"/>
  <c r="AA14" i="144" l="1"/>
  <c r="AB12" i="144"/>
  <c r="AD15" i="144"/>
  <c r="AE13" i="144"/>
  <c r="Z27" i="144"/>
  <c r="Z22" i="144"/>
  <c r="AC28" i="144"/>
  <c r="AC32" i="144" s="1"/>
  <c r="Y29" i="144"/>
  <c r="Y31" i="144"/>
  <c r="Y33" i="144" s="1"/>
  <c r="Z29" i="144" l="1"/>
  <c r="Z31" i="144"/>
  <c r="Z33" i="144" s="1"/>
  <c r="AE15" i="144"/>
  <c r="AF13" i="144"/>
  <c r="AD28" i="144"/>
  <c r="AD32" i="144" s="1"/>
  <c r="AC12" i="144"/>
  <c r="AB14" i="144"/>
  <c r="AA27" i="144"/>
  <c r="AA22" i="144"/>
  <c r="AB27" i="144" l="1"/>
  <c r="AB22" i="144"/>
  <c r="AD12" i="144"/>
  <c r="AC14" i="144"/>
  <c r="AF15" i="144"/>
  <c r="AG13" i="144"/>
  <c r="AE28" i="144"/>
  <c r="AE32" i="144" s="1"/>
  <c r="AA29" i="144"/>
  <c r="AA31" i="144"/>
  <c r="AA33" i="144" s="1"/>
  <c r="AG15" i="144" l="1"/>
  <c r="AH13" i="144"/>
  <c r="AF28" i="144"/>
  <c r="AF32" i="144" s="1"/>
  <c r="AC27" i="144"/>
  <c r="AC22" i="144"/>
  <c r="AE12" i="144"/>
  <c r="AD14" i="144"/>
  <c r="AB29" i="144"/>
  <c r="AB31" i="144"/>
  <c r="AB33" i="144" s="1"/>
  <c r="AF12" i="144" l="1"/>
  <c r="AE14" i="144"/>
  <c r="AC29" i="144"/>
  <c r="AC31" i="144"/>
  <c r="AC33" i="144" s="1"/>
  <c r="AD27" i="144"/>
  <c r="AD22" i="144"/>
  <c r="AI13" i="144"/>
  <c r="AH15" i="144"/>
  <c r="AG28" i="144"/>
  <c r="AG32" i="144" s="1"/>
  <c r="AI15" i="144" l="1"/>
  <c r="AJ13" i="144"/>
  <c r="AH28" i="144"/>
  <c r="AH32" i="144" s="1"/>
  <c r="AE27" i="144"/>
  <c r="AE22" i="144"/>
  <c r="AD29" i="144"/>
  <c r="AD31" i="144"/>
  <c r="AD33" i="144" s="1"/>
  <c r="AG12" i="144"/>
  <c r="AF14" i="144"/>
  <c r="AF27" i="144" l="1"/>
  <c r="AF22" i="144"/>
  <c r="AJ15" i="144"/>
  <c r="AK13" i="144"/>
  <c r="AE29" i="144"/>
  <c r="AE31" i="144"/>
  <c r="AE33" i="144" s="1"/>
  <c r="AG14" i="144"/>
  <c r="AH12" i="144"/>
  <c r="AI28" i="144"/>
  <c r="AI32" i="144" s="1"/>
  <c r="AG27" i="144" l="1"/>
  <c r="AG22" i="144"/>
  <c r="AJ28" i="144"/>
  <c r="AJ32" i="144" s="1"/>
  <c r="AH14" i="144"/>
  <c r="AI12" i="144"/>
  <c r="AK15" i="144"/>
  <c r="AL13" i="144"/>
  <c r="AF29" i="144"/>
  <c r="AF31" i="144"/>
  <c r="AF33" i="144" s="1"/>
  <c r="AL15" i="144" l="1"/>
  <c r="AM13" i="144"/>
  <c r="AK28" i="144"/>
  <c r="AK32" i="144" s="1"/>
  <c r="AJ12" i="144"/>
  <c r="AI14" i="144"/>
  <c r="AH27" i="144"/>
  <c r="AH22" i="144"/>
  <c r="AG29" i="144"/>
  <c r="AG31" i="144"/>
  <c r="AG33" i="144" s="1"/>
  <c r="AI27" i="144" l="1"/>
  <c r="AI22" i="144"/>
  <c r="AJ14" i="144"/>
  <c r="AK12" i="144"/>
  <c r="AM15" i="144"/>
  <c r="AN13" i="144"/>
  <c r="AH29" i="144"/>
  <c r="AH31" i="144"/>
  <c r="AH33" i="144" s="1"/>
  <c r="AL28" i="144"/>
  <c r="AL32" i="144" s="1"/>
  <c r="AM28" i="144" l="1"/>
  <c r="AM32" i="144" s="1"/>
  <c r="AN15" i="144"/>
  <c r="AO13" i="144"/>
  <c r="AK14" i="144"/>
  <c r="AL12" i="144"/>
  <c r="AJ27" i="144"/>
  <c r="AJ22" i="144"/>
  <c r="AI29" i="144"/>
  <c r="AI31" i="144"/>
  <c r="AI33" i="144" s="1"/>
  <c r="AJ29" i="144" l="1"/>
  <c r="AJ31" i="144"/>
  <c r="AJ33" i="144" s="1"/>
  <c r="AL14" i="144"/>
  <c r="AM12" i="144"/>
  <c r="AK27" i="144"/>
  <c r="AK22" i="144"/>
  <c r="AP13" i="144"/>
  <c r="AO15" i="144"/>
  <c r="AN28" i="144"/>
  <c r="AN32" i="144" s="1"/>
  <c r="AO28" i="144" l="1"/>
  <c r="AO32" i="144" s="1"/>
  <c r="AL27" i="144"/>
  <c r="AL22" i="144"/>
  <c r="AQ13" i="144"/>
  <c r="AP15" i="144"/>
  <c r="AK29" i="144"/>
  <c r="AK31" i="144"/>
  <c r="AK33" i="144" s="1"/>
  <c r="AM14" i="144"/>
  <c r="AN12" i="144"/>
  <c r="AP28" i="144" l="1"/>
  <c r="AP32" i="144" s="1"/>
  <c r="AL29" i="144"/>
  <c r="AL31" i="144"/>
  <c r="AL33" i="144" s="1"/>
  <c r="AQ15" i="144"/>
  <c r="AR13" i="144"/>
  <c r="AO12" i="144"/>
  <c r="AN14" i="144"/>
  <c r="AM27" i="144"/>
  <c r="AM22" i="144"/>
  <c r="AO14" i="144" l="1"/>
  <c r="AP12" i="144"/>
  <c r="AQ28" i="144"/>
  <c r="AQ32" i="144" s="1"/>
  <c r="AN27" i="144"/>
  <c r="AN22" i="144"/>
  <c r="AS13" i="144"/>
  <c r="AR15" i="144"/>
  <c r="AM29" i="144"/>
  <c r="AM31" i="144"/>
  <c r="AM33" i="144" s="1"/>
  <c r="AN29" i="144" l="1"/>
  <c r="AN31" i="144"/>
  <c r="AN33" i="144" s="1"/>
  <c r="AT13" i="144"/>
  <c r="AS15" i="144"/>
  <c r="AR28" i="144"/>
  <c r="AR32" i="144" s="1"/>
  <c r="AP14" i="144"/>
  <c r="AQ12" i="144"/>
  <c r="AO27" i="144"/>
  <c r="AO22" i="144"/>
  <c r="AP27" i="144" l="1"/>
  <c r="AP22" i="144"/>
  <c r="AR12" i="144"/>
  <c r="AQ14" i="144"/>
  <c r="AS28" i="144"/>
  <c r="AS32" i="144" s="1"/>
  <c r="AT15" i="144"/>
  <c r="AU13" i="144"/>
  <c r="AU15" i="144" s="1"/>
  <c r="AO29" i="144"/>
  <c r="AO31" i="144"/>
  <c r="AO33" i="144" s="1"/>
  <c r="AT28" i="144" l="1"/>
  <c r="AT32" i="144" s="1"/>
  <c r="M15" i="144"/>
  <c r="AU28" i="144"/>
  <c r="N15" i="144"/>
  <c r="AQ27" i="144"/>
  <c r="AQ22" i="144"/>
  <c r="AR14" i="144"/>
  <c r="AS12" i="144"/>
  <c r="AP29" i="144"/>
  <c r="AP31" i="144"/>
  <c r="AP33" i="144" s="1"/>
  <c r="AU32" i="144" l="1"/>
  <c r="AQ29" i="144"/>
  <c r="AQ31" i="144"/>
  <c r="AQ33" i="144" s="1"/>
  <c r="AS14" i="144"/>
  <c r="AT12" i="144"/>
  <c r="AR27" i="144"/>
  <c r="AR22" i="144"/>
  <c r="AR29" i="144" l="1"/>
  <c r="AR31" i="144"/>
  <c r="AR33" i="144" s="1"/>
  <c r="AU12" i="144"/>
  <c r="AU14" i="144" s="1"/>
  <c r="AT14" i="144"/>
  <c r="AS27" i="144"/>
  <c r="AS22" i="144"/>
  <c r="AU27" i="144" l="1"/>
  <c r="N14" i="144"/>
  <c r="AU22" i="144"/>
  <c r="AS29" i="144"/>
  <c r="AS31" i="144"/>
  <c r="AS33" i="144" s="1"/>
  <c r="AT27" i="144"/>
  <c r="M14" i="144"/>
  <c r="M16" i="144" s="1"/>
  <c r="AT22" i="144"/>
  <c r="M22" i="144" s="1"/>
  <c r="AT29" i="144" l="1"/>
  <c r="AT31" i="144"/>
  <c r="AT33" i="144" s="1"/>
  <c r="N16" i="144"/>
  <c r="N22" i="144"/>
  <c r="AU29" i="144"/>
  <c r="AU31" i="144"/>
  <c r="AU33" i="144" s="1"/>
  <c r="E33" i="116" l="1"/>
  <c r="F33" i="116" s="1"/>
  <c r="E32" i="116"/>
  <c r="F32" i="116" s="1"/>
  <c r="K8" i="123"/>
  <c r="E30" i="116"/>
  <c r="K6" i="123"/>
  <c r="AG28" i="183" l="1"/>
  <c r="E34" i="116"/>
  <c r="F34" i="116" s="1"/>
  <c r="K3" i="123"/>
  <c r="K22" i="123" s="1"/>
  <c r="M90" i="123"/>
  <c r="Q29" i="183" s="1"/>
  <c r="K90" i="123"/>
  <c r="K93" i="123" s="1"/>
  <c r="L90" i="123"/>
  <c r="K56" i="123"/>
  <c r="M56" i="123"/>
  <c r="Q32" i="183" s="1"/>
  <c r="L56" i="123"/>
  <c r="P32" i="183" s="1"/>
  <c r="F30" i="116"/>
  <c r="K5" i="123"/>
  <c r="K4" i="123"/>
  <c r="L39" i="123" s="1"/>
  <c r="P30" i="183" s="1"/>
  <c r="E31" i="116"/>
  <c r="F31" i="116" s="1"/>
  <c r="E35" i="116"/>
  <c r="F35" i="116" s="1"/>
  <c r="M10" i="154"/>
  <c r="K7" i="123"/>
  <c r="AG31" i="183" l="1"/>
  <c r="AG27" i="183"/>
  <c r="L22" i="123"/>
  <c r="P27" i="183" s="1"/>
  <c r="K59" i="123"/>
  <c r="K60" i="123" s="1"/>
  <c r="N60" i="123" s="1"/>
  <c r="K9" i="123"/>
  <c r="K25" i="123"/>
  <c r="K26" i="123" s="1"/>
  <c r="M22" i="123"/>
  <c r="Q27" i="183" s="1"/>
  <c r="AP29" i="183"/>
  <c r="AP33" i="183" s="1"/>
  <c r="AP49" i="183" s="1"/>
  <c r="AP51" i="183" s="1"/>
  <c r="AQ29" i="183"/>
  <c r="AQ33" i="183" s="1"/>
  <c r="AQ44" i="183" s="1"/>
  <c r="F36" i="116"/>
  <c r="E36" i="116"/>
  <c r="P29" i="183"/>
  <c r="P14" i="176"/>
  <c r="M39" i="123"/>
  <c r="Q30" i="183" s="1"/>
  <c r="K39" i="123"/>
  <c r="K42" i="123" s="1"/>
  <c r="M73" i="123"/>
  <c r="Q28" i="183" s="1"/>
  <c r="K73" i="123"/>
  <c r="K76" i="123" s="1"/>
  <c r="L73" i="123"/>
  <c r="P28" i="183" s="1"/>
  <c r="AP44" i="183" l="1"/>
  <c r="AA15" i="183"/>
  <c r="AB15" i="183"/>
  <c r="U15" i="183"/>
  <c r="W31" i="183" s="1"/>
  <c r="V15" i="183"/>
  <c r="AD15" i="183"/>
  <c r="AF31" i="183" s="1"/>
  <c r="Z15" i="183"/>
  <c r="AA31" i="183" s="1"/>
  <c r="AC15" i="183"/>
  <c r="AD31" i="183" s="1"/>
  <c r="W15" i="183"/>
  <c r="X15" i="183"/>
  <c r="Y15" i="183"/>
  <c r="AQ49" i="183"/>
  <c r="AQ51" i="183" s="1"/>
  <c r="T15" i="183"/>
  <c r="Z31" i="183"/>
  <c r="N26" i="123"/>
  <c r="B12" i="185" s="1"/>
  <c r="K94" i="123"/>
  <c r="N94" i="123" s="1"/>
  <c r="K43" i="123"/>
  <c r="N43" i="123" s="1"/>
  <c r="P33" i="183"/>
  <c r="P49" i="183" s="1"/>
  <c r="P51" i="183" s="1"/>
  <c r="Q33" i="183"/>
  <c r="AG32" i="183"/>
  <c r="AH32" i="183"/>
  <c r="AH33" i="183" s="1"/>
  <c r="P27" i="176"/>
  <c r="P29" i="176" s="1"/>
  <c r="P22" i="176"/>
  <c r="AK30" i="183"/>
  <c r="AK33" i="183" s="1"/>
  <c r="AJ30" i="183"/>
  <c r="AJ33" i="183" s="1"/>
  <c r="O40" i="183"/>
  <c r="B17" i="185"/>
  <c r="Q14" i="176"/>
  <c r="AB31" i="183" l="1"/>
  <c r="X31" i="183"/>
  <c r="AA13" i="183"/>
  <c r="AB13" i="183"/>
  <c r="AC13" i="183"/>
  <c r="V13" i="183"/>
  <c r="X29" i="183" s="1"/>
  <c r="T13" i="183"/>
  <c r="X13" i="183"/>
  <c r="U13" i="183"/>
  <c r="W13" i="183"/>
  <c r="Y13" i="183"/>
  <c r="Z13" i="183"/>
  <c r="AB29" i="183" s="1"/>
  <c r="Y31" i="183"/>
  <c r="AE31" i="183"/>
  <c r="U12" i="183"/>
  <c r="AC12" i="183"/>
  <c r="V12" i="183"/>
  <c r="AD12" i="183"/>
  <c r="AF28" i="183" s="1"/>
  <c r="W12" i="183"/>
  <c r="Y12" i="183"/>
  <c r="AB12" i="183"/>
  <c r="AA12" i="183"/>
  <c r="X12" i="183"/>
  <c r="Z12" i="183"/>
  <c r="T12" i="183"/>
  <c r="W16" i="183"/>
  <c r="X16" i="183"/>
  <c r="Z16" i="183"/>
  <c r="AB16" i="183"/>
  <c r="AC16" i="183"/>
  <c r="Y16" i="183"/>
  <c r="AA16" i="183"/>
  <c r="U16" i="183"/>
  <c r="V16" i="183"/>
  <c r="T16" i="183"/>
  <c r="AC11" i="183"/>
  <c r="Y14" i="183"/>
  <c r="T14" i="183"/>
  <c r="Z14" i="183"/>
  <c r="AA14" i="183"/>
  <c r="AB14" i="183"/>
  <c r="U14" i="183"/>
  <c r="AC14" i="183"/>
  <c r="V14" i="183"/>
  <c r="X14" i="183"/>
  <c r="Z30" i="183" s="1"/>
  <c r="W14" i="183"/>
  <c r="AC31" i="183"/>
  <c r="O35" i="183"/>
  <c r="N35" i="183" s="1"/>
  <c r="U31" i="183"/>
  <c r="V31" i="183"/>
  <c r="M15" i="183"/>
  <c r="AD16" i="183"/>
  <c r="AF32" i="183" s="1"/>
  <c r="P44" i="183"/>
  <c r="B14" i="185"/>
  <c r="O37" i="183"/>
  <c r="M37" i="183" s="1"/>
  <c r="K77" i="123"/>
  <c r="N77" i="123" s="1"/>
  <c r="B15" i="185"/>
  <c r="O38" i="183"/>
  <c r="M38" i="183" s="1"/>
  <c r="M14" i="176"/>
  <c r="F8" i="185" s="1"/>
  <c r="N14" i="176"/>
  <c r="M40" i="183"/>
  <c r="N40" i="183"/>
  <c r="E17" i="185" s="1"/>
  <c r="AJ44" i="183"/>
  <c r="AJ49" i="183"/>
  <c r="AJ51" i="183" s="1"/>
  <c r="Q27" i="176"/>
  <c r="Q22" i="176"/>
  <c r="AH44" i="183"/>
  <c r="AH49" i="183"/>
  <c r="AH51" i="183" s="1"/>
  <c r="Q44" i="183"/>
  <c r="Q49" i="183"/>
  <c r="Q51" i="183" s="1"/>
  <c r="AK49" i="183"/>
  <c r="AK51" i="183" s="1"/>
  <c r="AK44" i="183"/>
  <c r="M35" i="183" l="1"/>
  <c r="AC17" i="183"/>
  <c r="X32" i="183"/>
  <c r="M12" i="183"/>
  <c r="AB28" i="183"/>
  <c r="X28" i="183"/>
  <c r="AA32" i="183"/>
  <c r="AD28" i="183"/>
  <c r="W29" i="183"/>
  <c r="AA30" i="183"/>
  <c r="Z28" i="183"/>
  <c r="Z29" i="183"/>
  <c r="AC32" i="183"/>
  <c r="AE28" i="183"/>
  <c r="X30" i="183"/>
  <c r="AA10" i="154"/>
  <c r="AC28" i="183"/>
  <c r="V11" i="183"/>
  <c r="T10" i="154"/>
  <c r="V28" i="183"/>
  <c r="U28" i="183"/>
  <c r="T11" i="183"/>
  <c r="T17" i="183" s="1"/>
  <c r="AA11" i="183"/>
  <c r="Y10" i="154"/>
  <c r="W28" i="183"/>
  <c r="W30" i="183"/>
  <c r="Z11" i="183"/>
  <c r="Z17" i="183" s="1"/>
  <c r="X10" i="154"/>
  <c r="U29" i="183"/>
  <c r="V29" i="183"/>
  <c r="Y11" i="183"/>
  <c r="W10" i="154"/>
  <c r="U11" i="183"/>
  <c r="S10" i="154"/>
  <c r="AC30" i="183"/>
  <c r="AB11" i="183"/>
  <c r="AB17" i="183" s="1"/>
  <c r="Z10" i="154"/>
  <c r="V32" i="183"/>
  <c r="U32" i="183"/>
  <c r="AB32" i="183"/>
  <c r="AA28" i="183"/>
  <c r="Y30" i="183"/>
  <c r="AB30" i="183"/>
  <c r="X11" i="183"/>
  <c r="X17" i="183" s="1"/>
  <c r="V10" i="154"/>
  <c r="Z32" i="183"/>
  <c r="Y28" i="183"/>
  <c r="AA29" i="183"/>
  <c r="U30" i="183"/>
  <c r="V30" i="183"/>
  <c r="W11" i="183"/>
  <c r="W17" i="183" s="1"/>
  <c r="U10" i="154"/>
  <c r="W32" i="183"/>
  <c r="Y32" i="183"/>
  <c r="Y29" i="183"/>
  <c r="AC29" i="183"/>
  <c r="M31" i="183"/>
  <c r="F16" i="185" s="1"/>
  <c r="N31" i="183"/>
  <c r="N37" i="183"/>
  <c r="E14" i="185" s="1"/>
  <c r="AD29" i="183"/>
  <c r="AD32" i="183"/>
  <c r="AE32" i="183"/>
  <c r="M16" i="183"/>
  <c r="AD30" i="183"/>
  <c r="AD11" i="183"/>
  <c r="O18" i="176"/>
  <c r="M18" i="176" s="1"/>
  <c r="M20" i="176" s="1"/>
  <c r="B8" i="185"/>
  <c r="N106" i="123"/>
  <c r="B13" i="185"/>
  <c r="O36" i="183"/>
  <c r="O42" i="183" s="1"/>
  <c r="O49" i="183" s="1"/>
  <c r="N38" i="183"/>
  <c r="E15" i="185" s="1"/>
  <c r="M16" i="176"/>
  <c r="Q29" i="176"/>
  <c r="E12" i="185"/>
  <c r="N16" i="176"/>
  <c r="W27" i="183" l="1"/>
  <c r="W33" i="183" s="1"/>
  <c r="U17" i="183"/>
  <c r="N28" i="183"/>
  <c r="AA27" i="183"/>
  <c r="AA33" i="183" s="1"/>
  <c r="AA49" i="183" s="1"/>
  <c r="AA51" i="183" s="1"/>
  <c r="Y17" i="183"/>
  <c r="AC27" i="183"/>
  <c r="AC33" i="183" s="1"/>
  <c r="AA17" i="183"/>
  <c r="AF27" i="183"/>
  <c r="AD27" i="183"/>
  <c r="AD33" i="183" s="1"/>
  <c r="V17" i="183"/>
  <c r="M11" i="183"/>
  <c r="U27" i="183"/>
  <c r="U33" i="183" s="1"/>
  <c r="V27" i="183"/>
  <c r="V33" i="183" s="1"/>
  <c r="V49" i="183" s="1"/>
  <c r="V51" i="183" s="1"/>
  <c r="Z27" i="183"/>
  <c r="Z33" i="183" s="1"/>
  <c r="M28" i="183"/>
  <c r="F13" i="185" s="1"/>
  <c r="Y27" i="183"/>
  <c r="Y33" i="183" s="1"/>
  <c r="AB27" i="183"/>
  <c r="AB33" i="183" s="1"/>
  <c r="X27" i="183"/>
  <c r="X33" i="183" s="1"/>
  <c r="O22" i="176"/>
  <c r="M22" i="176" s="1"/>
  <c r="N36" i="183"/>
  <c r="E13" i="185" s="1"/>
  <c r="M36" i="183"/>
  <c r="M42" i="183" s="1"/>
  <c r="O27" i="176"/>
  <c r="AN31" i="176" s="1"/>
  <c r="AN33" i="176" s="1"/>
  <c r="AG29" i="183"/>
  <c r="AD13" i="183"/>
  <c r="AD14" i="183"/>
  <c r="N32" i="183"/>
  <c r="M32" i="183"/>
  <c r="F17" i="185" s="1"/>
  <c r="O20" i="176"/>
  <c r="N18" i="176"/>
  <c r="E8" i="185" s="1"/>
  <c r="AE27" i="183"/>
  <c r="AB10" i="154"/>
  <c r="T53" i="183"/>
  <c r="T55" i="183" s="1"/>
  <c r="O53" i="183"/>
  <c r="O55" i="183" s="1"/>
  <c r="S53" i="183"/>
  <c r="S55" i="183" s="1"/>
  <c r="R53" i="183"/>
  <c r="R55" i="183" s="1"/>
  <c r="O51" i="183"/>
  <c r="Q53" i="183"/>
  <c r="Q55" i="183" s="1"/>
  <c r="P53" i="183"/>
  <c r="P55" i="183" s="1"/>
  <c r="AD17" i="183" l="1"/>
  <c r="AA44" i="183"/>
  <c r="M27" i="183"/>
  <c r="F12" i="185" s="1"/>
  <c r="Y49" i="183"/>
  <c r="Y51" i="183" s="1"/>
  <c r="Y44" i="183"/>
  <c r="Z44" i="183"/>
  <c r="Z49" i="183"/>
  <c r="Z51" i="183" s="1"/>
  <c r="X44" i="183"/>
  <c r="X49" i="183"/>
  <c r="X51" i="183" s="1"/>
  <c r="W44" i="183"/>
  <c r="W49" i="183"/>
  <c r="W51" i="183" s="1"/>
  <c r="U49" i="183"/>
  <c r="U44" i="183"/>
  <c r="V44" i="183"/>
  <c r="AB49" i="183"/>
  <c r="AB51" i="183" s="1"/>
  <c r="AB44" i="183"/>
  <c r="AC49" i="183"/>
  <c r="AC51" i="183" s="1"/>
  <c r="AC44" i="183"/>
  <c r="N27" i="183"/>
  <c r="U31" i="176"/>
  <c r="U33" i="176" s="1"/>
  <c r="P31" i="176"/>
  <c r="P33" i="176" s="1"/>
  <c r="AA31" i="176"/>
  <c r="AA33" i="176" s="1"/>
  <c r="AE31" i="176"/>
  <c r="AE33" i="176" s="1"/>
  <c r="T31" i="176"/>
  <c r="T33" i="176" s="1"/>
  <c r="S31" i="176"/>
  <c r="S33" i="176" s="1"/>
  <c r="AF31" i="176"/>
  <c r="AF33" i="176" s="1"/>
  <c r="O29" i="176"/>
  <c r="AD31" i="176"/>
  <c r="AD33" i="176" s="1"/>
  <c r="Y31" i="176"/>
  <c r="Y33" i="176" s="1"/>
  <c r="Z31" i="176"/>
  <c r="Z33" i="176" s="1"/>
  <c r="V31" i="176"/>
  <c r="V33" i="176" s="1"/>
  <c r="AL31" i="176"/>
  <c r="AL33" i="176" s="1"/>
  <c r="AJ31" i="176"/>
  <c r="AJ33" i="176" s="1"/>
  <c r="X31" i="176"/>
  <c r="X33" i="176" s="1"/>
  <c r="N42" i="183"/>
  <c r="AG31" i="176"/>
  <c r="AG33" i="176" s="1"/>
  <c r="AH31" i="176"/>
  <c r="AH33" i="176" s="1"/>
  <c r="O31" i="176"/>
  <c r="O33" i="176" s="1"/>
  <c r="AM31" i="176"/>
  <c r="AM33" i="176" s="1"/>
  <c r="R31" i="176"/>
  <c r="R33" i="176" s="1"/>
  <c r="Q31" i="176"/>
  <c r="Q33" i="176" s="1"/>
  <c r="AC31" i="176"/>
  <c r="AC33" i="176" s="1"/>
  <c r="W31" i="176"/>
  <c r="W33" i="176" s="1"/>
  <c r="AI31" i="176"/>
  <c r="AI33" i="176" s="1"/>
  <c r="AB31" i="176"/>
  <c r="AB33" i="176" s="1"/>
  <c r="AK31" i="176"/>
  <c r="AK33" i="176" s="1"/>
  <c r="N20" i="176"/>
  <c r="AG30" i="183"/>
  <c r="AG33" i="183" s="1"/>
  <c r="AD44" i="183"/>
  <c r="AD49" i="183"/>
  <c r="AE30" i="183"/>
  <c r="N22" i="176"/>
  <c r="AF29" i="183"/>
  <c r="AE29" i="183"/>
  <c r="M13" i="183"/>
  <c r="U51" i="183" l="1"/>
  <c r="AA53" i="183"/>
  <c r="AA55" i="183" s="1"/>
  <c r="Z53" i="183"/>
  <c r="Z55" i="183" s="1"/>
  <c r="AC53" i="183"/>
  <c r="AC55" i="183" s="1"/>
  <c r="Y53" i="183"/>
  <c r="Y55" i="183" s="1"/>
  <c r="X53" i="183"/>
  <c r="X55" i="183" s="1"/>
  <c r="AB53" i="183"/>
  <c r="AB55" i="183" s="1"/>
  <c r="W53" i="183"/>
  <c r="W55" i="183" s="1"/>
  <c r="U53" i="183"/>
  <c r="U55" i="183" s="1"/>
  <c r="V53" i="183"/>
  <c r="V55" i="183" s="1"/>
  <c r="AE33" i="183"/>
  <c r="AE49" i="183" s="1"/>
  <c r="AE51" i="183" s="1"/>
  <c r="M14" i="183"/>
  <c r="AF30" i="183"/>
  <c r="AF33" i="183" s="1"/>
  <c r="M17" i="183"/>
  <c r="P45" i="183" s="1"/>
  <c r="Q45" i="183" s="1"/>
  <c r="R45" i="183" s="1"/>
  <c r="S45" i="183" s="1"/>
  <c r="T45" i="183" s="1"/>
  <c r="U45" i="183" s="1"/>
  <c r="V45" i="183" s="1"/>
  <c r="W45" i="183" s="1"/>
  <c r="X45" i="183" s="1"/>
  <c r="Y45" i="183" s="1"/>
  <c r="Z45" i="183" s="1"/>
  <c r="AA45" i="183" s="1"/>
  <c r="AB45" i="183" s="1"/>
  <c r="AC45" i="183" s="1"/>
  <c r="AG44" i="183"/>
  <c r="AG49" i="183"/>
  <c r="AG51" i="183" s="1"/>
  <c r="AD51" i="183"/>
  <c r="AD53" i="183"/>
  <c r="AD55" i="183" s="1"/>
  <c r="M29" i="183"/>
  <c r="N29" i="183"/>
  <c r="AE44" i="183" l="1"/>
  <c r="AD45" i="183"/>
  <c r="AE45" i="183" s="1"/>
  <c r="AF45" i="183" s="1"/>
  <c r="AG45" i="183" s="1"/>
  <c r="AH45" i="183" s="1"/>
  <c r="AI45" i="183" s="1"/>
  <c r="AJ45" i="183" s="1"/>
  <c r="AK45" i="183" s="1"/>
  <c r="AL45" i="183" s="1"/>
  <c r="AM45" i="183" s="1"/>
  <c r="AN45" i="183" s="1"/>
  <c r="AO45" i="183" s="1"/>
  <c r="AP45" i="183" s="1"/>
  <c r="AQ45" i="183" s="1"/>
  <c r="N30" i="183"/>
  <c r="N33" i="183" s="1"/>
  <c r="N44" i="183" s="1"/>
  <c r="M30" i="183"/>
  <c r="F15" i="185" s="1"/>
  <c r="AF49" i="183"/>
  <c r="AF51" i="183" s="1"/>
  <c r="AF44" i="183"/>
  <c r="AE53" i="183"/>
  <c r="AE55" i="183" s="1"/>
  <c r="F14" i="185"/>
  <c r="AN53" i="183" l="1"/>
  <c r="AN55" i="183" s="1"/>
  <c r="AO53" i="183"/>
  <c r="AO55" i="183" s="1"/>
  <c r="AI53" i="183"/>
  <c r="AI55" i="183" s="1"/>
  <c r="AP53" i="183"/>
  <c r="AP55" i="183" s="1"/>
  <c r="AM53" i="183"/>
  <c r="AM55" i="183" s="1"/>
  <c r="AJ53" i="183"/>
  <c r="AJ55" i="183" s="1"/>
  <c r="AK53" i="183"/>
  <c r="AK55" i="183" s="1"/>
  <c r="M33" i="183"/>
  <c r="M44" i="183" s="1"/>
  <c r="AF53" i="183"/>
  <c r="AF55" i="183" s="1"/>
  <c r="AQ53" i="183"/>
  <c r="AQ55" i="183" s="1"/>
  <c r="AL53" i="183"/>
  <c r="AL55" i="183" s="1"/>
  <c r="AG53" i="183"/>
  <c r="AG55" i="183" s="1"/>
  <c r="AH53" i="183"/>
  <c r="AH55" i="18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tc={AD0A2A57-BF43-4495-BF54-32458FE3E0BC}</author>
  </authors>
  <commentList>
    <comment ref="E16" authorId="0" shapeId="0" xr:uid="{AD0A2A57-BF43-4495-BF54-32458FE3E0BC}">
      <text>
        <t>[Threaded comment]
Your version of Excel allows you to read this threaded comment; however, any edits to it will get removed if the file is opened in a newer version of Excel. Learn more: https://go.microsoft.com/fwlink/?linkid=870924
Comment:
    Negative net present value means there is no cost for Elbow River. The catchment has a positive balance that is carried forward.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tc={1F770768-10EA-4517-8E56-8D3C17329AC7}</author>
    <author>tc={BD597F12-74FC-4FBC-B9B0-C71CB47F94B2}</author>
    <author>tc={BD64AD18-23DD-47F7-B64F-71FF476CBD36}</author>
  </authors>
  <commentList>
    <comment ref="B7" authorId="0" shapeId="0" xr:uid="{1F770768-10EA-4517-8E56-8D3C17329AC7}">
      <text>
        <t>[Threaded comment]
Your version of Excel allows you to read this threaded comment; however, any edits to it will get removed if the file is opened in a newer version of Excel. Learn more: https://go.microsoft.com/fwlink/?linkid=870924
Comment:
    For Water, the discount rate &amp; escalation rate will be the same as Non-Residential Construction Price Index (CPI), forecasted by The City's Treasury group. The expected cost cashflows already include both principals &amp; interests, so discount rate doesn't have to include borrowing/investment rates component and can be set the same as escalation rate.</t>
      </text>
    </comment>
    <comment ref="AN10" authorId="1" shapeId="0" xr:uid="{BD597F12-74FC-4FBC-B9B0-C71CB47F94B2}">
      <text>
        <t>[Threaded comment]
Your version of Excel allows you to read this threaded comment; however, any edits to it will get removed if the file is opened in a newer version of Excel. Learn more: https://go.microsoft.com/fwlink/?linkid=870924
Comment:
    Capacity is exhausted before principal and interest costs are fully paid off.</t>
      </text>
    </comment>
    <comment ref="O18" authorId="2" shapeId="0" xr:uid="{BD64AD18-23DD-47F7-B64F-71FF476CBD36}">
      <text>
        <t>[Threaded comment]
Your version of Excel allows you to read this threaded comment; however, any edits to it will get removed if the file is opened in a newer version of Excel. Learn more: https://go.microsoft.com/fwlink/?linkid=870924
Comment:
    Estimated surplus reducing future cost so it's negative in the model.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tc={90F8E713-112F-48C4-B9EB-BD15DBFA880B}</author>
    <author>tc={D363BB4C-AC78-4236-888C-40FC2DC77C49}</author>
    <author>tc={9878B7E5-1F35-4241-B56F-65F5A941189F}</author>
    <author>tc={716A0023-1678-479A-A824-990886174000}</author>
    <author>tc={9112D283-1670-4DFD-A500-A6ED4F3FA469}</author>
    <author>tc={BBBDB99D-3D06-45B3-8225-7B7C0327F874}</author>
    <author>tc={584FC524-30F7-40E4-99B8-E83CED27B893}</author>
    <author>tc={112598EC-C6F8-4936-8F9E-A9A9AC4E9013}</author>
  </authors>
  <commentList>
    <comment ref="B7" authorId="0" shapeId="0" xr:uid="{90F8E713-112F-48C4-B9EB-BD15DBFA880B}">
      <text>
        <t xml:space="preserve">[Threaded comment]
Your version of Excel allows you to read this threaded comment; however, any edits to it will get removed if the file is opened in a newer version of Excel. Learn more: https://go.microsoft.com/fwlink/?linkid=870924
Comment:
    For Water, the discount rate &amp; escalation rate will be the same as Non-Residential Construction Price Index (CPI) for Calgary, forecasted by The City's Treasury group. The expected cost cashflows already include both principals &amp; interests, so discount rate doesn't have to include borrowing/investment rates component and can be set the same as escalation rate. </t>
      </text>
    </comment>
    <comment ref="AQ10" authorId="1" shapeId="0" xr:uid="{D363BB4C-AC78-4236-888C-40FC2DC77C49}">
      <text>
        <t>[Threaded comment]
Your version of Excel allows you to read this threaded comment; however, any edits to it will get removed if the file is opened in a newer version of Excel. Learn more: https://go.microsoft.com/fwlink/?linkid=870924
Comment:
    Capacity is exhausted after principal and interest costs are fully paid off.</t>
      </text>
    </comment>
    <comment ref="O35" authorId="2" shapeId="0" xr:uid="{9878B7E5-1F35-4241-B56F-65F5A941189F}">
      <text>
        <t>[Threaded comment]
Your version of Excel allows you to read this threaded comment; however, any edits to it will get removed if the file is opened in a newer version of Excel. Learn more: https://go.microsoft.com/fwlink/?linkid=870924
Comment:
    Estimated surplus reducing future cost so it's negative in the model.</t>
      </text>
    </comment>
    <comment ref="O36" authorId="3" shapeId="0" xr:uid="{716A0023-1678-479A-A824-990886174000}">
      <text>
        <t>[Threaded comment]
Your version of Excel allows you to read this threaded comment; however, any edits to it will get removed if the file is opened in a newer version of Excel. Learn more: https://go.microsoft.com/fwlink/?linkid=870924
Comment:
    Estimated surplus reducing future cost so it's negative in the model.</t>
      </text>
    </comment>
    <comment ref="O37" authorId="4" shapeId="0" xr:uid="{9112D283-1670-4DFD-A500-A6ED4F3FA469}">
      <text>
        <t>[Threaded comment]
Your version of Excel allows you to read this threaded comment; however, any edits to it will get removed if the file is opened in a newer version of Excel. Learn more: https://go.microsoft.com/fwlink/?linkid=870924
Comment:
    Estimated shortfall increases cost so it's positive in the model.</t>
      </text>
    </comment>
    <comment ref="O38" authorId="5" shapeId="0" xr:uid="{BBBDB99D-3D06-45B3-8225-7B7C0327F874}">
      <text>
        <t>[Threaded comment]
Your version of Excel allows you to read this threaded comment; however, any edits to it will get removed if the file is opened in a newer version of Excel. Learn more: https://go.microsoft.com/fwlink/?linkid=870924
Comment:
    Estimated surplus reducing future cost so it's negative in the model.</t>
      </text>
    </comment>
    <comment ref="O39" authorId="6" shapeId="0" xr:uid="{584FC524-30F7-40E4-99B8-E83CED27B893}">
      <text>
        <t>[Threaded comment]
Your version of Excel allows you to read this threaded comment; however, any edits to it will get removed if the file is opened in a newer version of Excel. Learn more: https://go.microsoft.com/fwlink/?linkid=870924
Comment:
    Estimated surplus reducing future cost so it's negative in the model.</t>
      </text>
    </comment>
    <comment ref="O40" authorId="7" shapeId="0" xr:uid="{112598EC-C6F8-4936-8F9E-A9A9AC4E9013}">
      <text>
        <t>[Threaded comment]
Your version of Excel allows you to read this threaded comment; however, any edits to it will get removed if the file is opened in a newer version of Excel. Learn more: https://go.microsoft.com/fwlink/?linkid=870924
Comment:
    Estimated surplus reducing future cost so it's negative in the model.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tc={567190E4-09D9-487D-9992-E27B68254BF7}</author>
    <author>tc={60DB1E23-2EC2-4087-81D3-281C9F4FB84C}</author>
    <author>tc={44688BB1-3EB8-42F4-AD81-4039BCE696D8}</author>
    <author>tc={4AB16F85-4731-4D87-A120-537B2E060762}</author>
    <author>tc={182C2C16-EEA2-479D-B516-6E537FB44544}</author>
    <author>tc={15C751CD-EB0E-4D5C-98A7-004B0F572374}</author>
    <author>tc={8B66E463-B37F-4F9B-9C09-D38974F30DF7}</author>
    <author>Nguyen, Helena</author>
    <author>tc={C52D7362-695D-470F-9724-39E082FA5A57}</author>
    <author>tc={82E328DF-87C2-457B-B492-B0EC36918284}</author>
    <author>tc={0789404E-8048-47CD-BF5E-26C2A0629D2F}</author>
    <author>tc={E424953E-0CCA-43C9-A707-6BAA9D4DE0A7}</author>
    <author>tc={3132C381-118A-4AE8-98A4-6F221BFEC8E4}</author>
    <author>tc={5D90EA26-9782-47E9-A270-203409EFBA89}</author>
    <author>tc={C820E40C-5B4D-4CA4-B579-FA6C9F97D883}</author>
    <author>tc={73A7CD67-0E7A-4C51-A752-2CAC1E9B65D2}</author>
    <author>tc={84EC6BA1-FEE9-43EE-8B9B-D61147A946F0}</author>
    <author>tc={6B952FCA-C079-4AD8-B239-188739723593}</author>
    <author>tc={023D03C6-5DAB-47C5-BA00-EA3AC9324EBB}</author>
    <author>tc={B9A67EE2-BA95-44DD-B8C8-47C89F6EA62B}</author>
    <author>tc={8EBE1E72-7550-4CAE-A975-14A43C81F7B6}</author>
    <author>tc={627171A5-7CAC-4490-9472-1F70D9592125}</author>
    <author>tc={E89548F4-0025-4900-B053-7CF65B7EE9E4}</author>
    <author>tc={5B7C3512-7EBF-4ED0-B2C4-2DBCF4ADA1DE}</author>
    <author>tc={E7972A76-6B3D-4C9F-A21E-2D86DD2A02EE}</author>
    <author>tc={66AF35D8-F169-442E-B7D1-06FF875B9416}</author>
    <author>tc={6925A3AC-2C15-4F9D-B691-425AD3401AEC}</author>
    <author>tc={F6A24A30-7C27-422E-A847-41B81299E8BB}</author>
  </authors>
  <commentList>
    <comment ref="C1" authorId="0" shapeId="0" xr:uid="{567190E4-09D9-487D-9992-E27B68254BF7}">
      <text>
        <t>[Threaded comment]
Your version of Excel allows you to read this threaded comment; however, any edits to it will get removed if the file is opened in a newer version of Excel. Learn more: https://go.microsoft.com/fwlink/?linkid=870924
Comment:
    Cash billed or adjustment between 2016 and 2023 related to 2011 bylaw</t>
      </text>
    </comment>
    <comment ref="K1" authorId="1" shapeId="0" xr:uid="{60DB1E23-2EC2-4087-81D3-281C9F4FB84C}">
      <text>
        <t>[Threaded comment]
Your version of Excel allows you to read this threaded comment; however, any edits to it will get removed if the file is opened in a newer version of Excel. Learn more: https://go.microsoft.com/fwlink/?linkid=870924
Comment:
    estimated</t>
      </text>
    </comment>
    <comment ref="L1" authorId="2" shapeId="0" xr:uid="{44688BB1-3EB8-42F4-AD81-4039BCE696D8}">
      <text>
        <t>[Threaded comment]
Your version of Excel allows you to read this threaded comment; however, any edits to it will get removed if the file is opened in a newer version of Excel. Learn more: https://go.microsoft.com/fwlink/?linkid=870924
Comment:
    estimated</t>
      </text>
    </comment>
    <comment ref="M1" authorId="3" shapeId="0" xr:uid="{4AB16F85-4731-4D87-A120-537B2E060762}">
      <text>
        <t>[Threaded comment]
Your version of Excel allows you to read this threaded comment; however, any edits to it will get removed if the file is opened in a newer version of Excel. Learn more: https://go.microsoft.com/fwlink/?linkid=870924
Comment:
    estimated</t>
      </text>
    </comment>
    <comment ref="N1" authorId="4" shapeId="0" xr:uid="{182C2C16-EEA2-479D-B516-6E537FB44544}">
      <text>
        <t>[Threaded comment]
Your version of Excel allows you to read this threaded comment; however, any edits to it will get removed if the file is opened in a newer version of Excel. Learn more: https://go.microsoft.com/fwlink/?linkid=870924
Comment:
    estimated</t>
      </text>
    </comment>
    <comment ref="A9" authorId="5" shapeId="0" xr:uid="{15C751CD-EB0E-4D5C-98A7-004B0F572374}">
      <text>
        <t>[Threaded comment]
Your version of Excel allows you to read this threaded comment; however, any edits to it will get removed if the file is opened in a newer version of Excel. Learn more: https://go.microsoft.com/fwlink/?linkid=870924
Comment:
    Updated April 5, 2023</t>
      </text>
    </comment>
    <comment ref="A22" authorId="6" shapeId="0" xr:uid="{8B66E463-B37F-4F9B-9C09-D38974F30DF7}">
      <text>
        <t>[Threaded comment]
Your version of Excel allows you to read this threaded comment; however, any edits to it will get removed if the file is opened in a newer version of Excel. Learn more: https://go.microsoft.com/fwlink/?linkid=870924
Comment:
    Manual adjustment in formula is mainly for cash prepayment DOEs, no DA was signed.</t>
      </text>
    </comment>
    <comment ref="E22" authorId="7" shapeId="0" xr:uid="{3B6B8BDC-9950-4C26-8B2A-99F76ACB8105}">
      <text>
        <r>
          <rPr>
            <b/>
            <sz val="9"/>
            <color indexed="81"/>
            <rFont val="Tahoma"/>
            <family val="2"/>
          </rPr>
          <t>Nguyen, Helena:</t>
        </r>
        <r>
          <rPr>
            <sz val="9"/>
            <color indexed="81"/>
            <rFont val="Tahoma"/>
            <family val="2"/>
          </rPr>
          <t xml:space="preserve">
DA2017-0043 no charge for watershed (1.583Ha) from city - cost sharing with other developers</t>
        </r>
      </text>
    </comment>
    <comment ref="L22" authorId="8" shapeId="0" xr:uid="{C52D7362-695D-470F-9724-39E082FA5A57}">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M22" authorId="9" shapeId="0" xr:uid="{82E328DF-87C2-457B-B492-B0EC36918284}">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N26" authorId="10" shapeId="0" xr:uid="{0789404E-8048-47CD-BF5E-26C2A0629D2F}">
      <text>
        <t>[Threaded comment]
Your version of Excel allows you to read this threaded comment; however, any edits to it will get removed if the file is opened in a newer version of Excel. Learn more: https://go.microsoft.com/fwlink/?linkid=870924
Comment:
    Forecasted FY2023 OSL Annual Report</t>
      </text>
    </comment>
    <comment ref="A39" authorId="11" shapeId="0" xr:uid="{E424953E-0CCA-43C9-A707-6BAA9D4DE0A7}">
      <text>
        <t>[Threaded comment]
Your version of Excel allows you to read this threaded comment; however, any edits to it will get removed if the file is opened in a newer version of Excel. Learn more: https://go.microsoft.com/fwlink/?linkid=870924
Comment:
    Manual adjustment in formula is mainly for cash prepayment DOEs, no DA was signed.</t>
      </text>
    </comment>
    <comment ref="L39" authorId="12" shapeId="0" xr:uid="{3132C381-118A-4AE8-98A4-6F221BFEC8E4}">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M39" authorId="13" shapeId="0" xr:uid="{5D90EA26-9782-47E9-A270-203409EFBA89}">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N43" authorId="14" shapeId="0" xr:uid="{C820E40C-5B4D-4CA4-B579-FA6C9F97D883}">
      <text>
        <t>[Threaded comment]
Your version of Excel allows you to read this threaded comment; however, any edits to it will get removed if the file is opened in a newer version of Excel. Learn more: https://go.microsoft.com/fwlink/?linkid=870924
Comment:
    Forecasted FY2023 OSL Annual Report</t>
      </text>
    </comment>
    <comment ref="A56" authorId="15" shapeId="0" xr:uid="{73A7CD67-0E7A-4C51-A752-2CAC1E9B65D2}">
      <text>
        <t>[Threaded comment]
Your version of Excel allows you to read this threaded comment; however, any edits to it will get removed if the file is opened in a newer version of Excel. Learn more: https://go.microsoft.com/fwlink/?linkid=870924
Comment:
    Manual adjustment in formula is mainly for cash prepayment DOEs, no DA was signed.</t>
      </text>
    </comment>
    <comment ref="L56" authorId="16" shapeId="0" xr:uid="{84EC6BA1-FEE9-43EE-8B9B-D61147A946F0}">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M56" authorId="17" shapeId="0" xr:uid="{6B952FCA-C079-4AD8-B239-188739723593}">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N60" authorId="18" shapeId="0" xr:uid="{023D03C6-5DAB-47C5-BA00-EA3AC9324EBB}">
      <text>
        <t>[Threaded comment]
Your version of Excel allows you to read this threaded comment; however, any edits to it will get removed if the file is opened in a newer version of Excel. Learn more: https://go.microsoft.com/fwlink/?linkid=870924
Comment:
    Forecasted FY2023 OSL Annual Report</t>
      </text>
    </comment>
    <comment ref="F70" authorId="7" shapeId="0" xr:uid="{0C46C23D-DE16-4064-A171-4A5A5DD299B8}">
      <text>
        <r>
          <rPr>
            <b/>
            <sz val="9"/>
            <color indexed="81"/>
            <rFont val="Tahoma"/>
            <family val="2"/>
          </rPr>
          <t>Nguyen, Helena:</t>
        </r>
        <r>
          <rPr>
            <sz val="9"/>
            <color indexed="81"/>
            <rFont val="Tahoma"/>
            <family val="2"/>
          </rPr>
          <t xml:space="preserve">
Add in CFA payment</t>
        </r>
      </text>
    </comment>
    <comment ref="A73" authorId="19" shapeId="0" xr:uid="{B9A67EE2-BA95-44DD-B8C8-47C89F6EA62B}">
      <text>
        <t>[Threaded comment]
Your version of Excel allows you to read this threaded comment; however, any edits to it will get removed if the file is opened in a newer version of Excel. Learn more: https://go.microsoft.com/fwlink/?linkid=870924
Comment:
    Manual adjustment in formula is mainly for cash prepayment DOEs, no DA was signed.</t>
      </text>
    </comment>
    <comment ref="L73" authorId="20" shapeId="0" xr:uid="{8EBE1E72-7550-4CAE-A975-14A43C81F7B6}">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M73" authorId="21" shapeId="0" xr:uid="{627171A5-7CAC-4490-9472-1F70D9592125}">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N77" authorId="22" shapeId="0" xr:uid="{E89548F4-0025-4900-B053-7CF65B7EE9E4}">
      <text>
        <t>[Threaded comment]
Your version of Excel allows you to read this threaded comment; however, any edits to it will get removed if the file is opened in a newer version of Excel. Learn more: https://go.microsoft.com/fwlink/?linkid=870924
Comment:
    Forecasted FY2023 OSL Annual Report</t>
      </text>
    </comment>
    <comment ref="E87" authorId="7" shapeId="0" xr:uid="{09AA56AD-276D-4CCB-823A-C19274665555}">
      <text>
        <r>
          <rPr>
            <b/>
            <sz val="9"/>
            <color indexed="81"/>
            <rFont val="Tahoma"/>
            <family val="2"/>
          </rPr>
          <t>Nguyen, Helena:</t>
        </r>
        <r>
          <rPr>
            <sz val="9"/>
            <color indexed="81"/>
            <rFont val="Tahoma"/>
            <family val="2"/>
          </rPr>
          <t xml:space="preserve">
add in Shepard wetland project payment from Shepard reserve</t>
        </r>
      </text>
    </comment>
    <comment ref="F87" authorId="7" shapeId="0" xr:uid="{24EDE273-7DD0-4982-A283-68769F450C7B}">
      <text>
        <r>
          <rPr>
            <b/>
            <sz val="9"/>
            <color indexed="81"/>
            <rFont val="Tahoma"/>
            <family val="2"/>
          </rPr>
          <t>Nguyen, Helena:</t>
        </r>
        <r>
          <rPr>
            <sz val="9"/>
            <color indexed="81"/>
            <rFont val="Tahoma"/>
            <family val="2"/>
          </rPr>
          <t xml:space="preserve">
add in Shepard wetland project payment from Shepard reserve</t>
        </r>
      </text>
    </comment>
    <comment ref="A90" authorId="23" shapeId="0" xr:uid="{5B7C3512-7EBF-4ED0-B2C4-2DBCF4ADA1DE}">
      <text>
        <t>[Threaded comment]
Your version of Excel allows you to read this threaded comment; however, any edits to it will get removed if the file is opened in a newer version of Excel. Learn more: https://go.microsoft.com/fwlink/?linkid=870924
Comment:
    Manual adjustment in formula is mainly for cash prepayment DOEs, no DA was signed.</t>
      </text>
    </comment>
    <comment ref="L90" authorId="24" shapeId="0" xr:uid="{E7972A76-6B3D-4C9F-A21E-2D86DD2A02EE}">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M90" authorId="25" shapeId="0" xr:uid="{66AF35D8-F169-442E-B7D1-06FF875B9416}">
      <text>
        <t>[Threaded comment]
Your version of Excel allows you to read this threaded comment; however, any edits to it will get removed if the file is opened in a newer version of Excel. Learn more: https://go.microsoft.com/fwlink/?linkid=870924
Comment:
    Amount in past year's columns assume cash collections occur in same year as DA signed, therefore these amounts back-out what has not yet been collected due to the delayed payment schedule. This is why it's negative.</t>
      </text>
    </comment>
    <comment ref="N94" authorId="26" shapeId="0" xr:uid="{6925A3AC-2C15-4F9D-B691-425AD3401AEC}">
      <text>
        <t>[Threaded comment]
Your version of Excel allows you to read this threaded comment; however, any edits to it will get removed if the file is opened in a newer version of Excel. Learn more: https://go.microsoft.com/fwlink/?linkid=870924
Comment:
    Forecasted FY2023 OSL Annual Report</t>
      </text>
    </comment>
    <comment ref="N102" authorId="27" shapeId="0" xr:uid="{F6A24A30-7C27-422E-A847-41B81299E8BB}">
      <text>
        <t>[Threaded comment]
Your version of Excel allows you to read this threaded comment; however, any edits to it will get removed if the file is opened in a newer version of Excel. Learn more: https://go.microsoft.com/fwlink/?linkid=870924
Comment:
    Forecasted FY2023 OSL Annual Report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tc={6FC20ABE-0F4B-4F64-9E64-72568548993F}</author>
    <author>tc={6D0D41E0-6A2B-4B03-B5BB-7B2A937FDC4B}</author>
  </authors>
  <commentList>
    <comment ref="D1" authorId="0" shapeId="0" xr:uid="{6FC20ABE-0F4B-4F64-9E64-72568548993F}">
      <text>
        <t>[Threaded comment]
Your version of Excel allows you to read this threaded comment; however, any edits to it will get removed if the file is opened in a newer version of Excel. Learn more: https://go.microsoft.com/fwlink/?linkid=870924
Comment:
    Recent years 2020-2022 has more weight when estimating the catchment percentage.</t>
      </text>
    </comment>
    <comment ref="R1" authorId="1" shapeId="0" xr:uid="{6D0D41E0-6A2B-4B03-B5BB-7B2A937FDC4B}">
      <text>
        <t>[Threaded comment]
Your version of Excel allows you to read this threaded comment; however, any edits to it will get removed if the file is opened in a newer version of Excel. Learn more: https://go.microsoft.com/fwlink/?linkid=870924
Comment:
    Historical land absorption % is applicable for short term only</t>
      </text>
    </comment>
  </commentList>
</comments>
</file>

<file path=xl/sharedStrings.xml><?xml version="1.0" encoding="utf-8"?>
<sst xmlns="http://schemas.openxmlformats.org/spreadsheetml/2006/main" count="699" uniqueCount="272">
  <si>
    <t>HOW TO USE THIS DOCUMENT</t>
  </si>
  <si>
    <t xml:space="preserve">Welcome to the financial model used to determine the Off-site Levy (OSL) rates for stormwater as a part of the 2024 Off-site Levies Bylaw review. This financial model uses the latest information and assumptions available. 
These spreadsheets are intended to demonstrate the methodology on how the OSL rates are determined. The parameters and assumptions will be updated as new information becomes available. 
The stormwater rates are calculated independently using very similar methodology. Payment schedule is used to forecast cashflows. Excel goal seek function is used to determine rate per hectare (Ha) to ensure total costs will be recovered, taking into account time value of money. Citywide vs. catchment rates are both calculated and presented.
Cell comments have been added throughout this file to aid users to understand how inputs are determined and why specific values are used. </t>
  </si>
  <si>
    <t>Levy Tabs 1 - 12</t>
  </si>
  <si>
    <t>Tab Number</t>
  </si>
  <si>
    <t>Title</t>
  </si>
  <si>
    <t xml:space="preserve">Description </t>
  </si>
  <si>
    <t>Tab 1</t>
  </si>
  <si>
    <t>Summary</t>
  </si>
  <si>
    <t xml:space="preserve">This tab provides a high level summary of the steps that are taken to determine the citywide and catchment-based stormwater levy rates. </t>
  </si>
  <si>
    <t>Tab 2</t>
  </si>
  <si>
    <t>Citywide</t>
  </si>
  <si>
    <t>This tab provides details on how the net present value was calculated for forecasted levy revenues and debt servicing costs. Goal seek function is used to determine the applicable citywide levy rate to ensures these two net present values are the same.</t>
  </si>
  <si>
    <t>Tab 3</t>
  </si>
  <si>
    <t>Catchment</t>
  </si>
  <si>
    <t>This tab provides details on how the net present value was calculated for forecasted levy revenues and debt servicing costs. Goal seek function is used to determine the applicable catchment-based levy rate to ensures these two net present values are the same.</t>
  </si>
  <si>
    <t>Tab 4</t>
  </si>
  <si>
    <t>Balance</t>
  </si>
  <si>
    <t>This tab forecasts levy balances as of December 31, 2023 using historical and forecasted hectare signed, capital expenditure incurred, debt taken, earned investment income and expected cashflow per payment schedule.</t>
  </si>
  <si>
    <t xml:space="preserve">Tab 5 </t>
  </si>
  <si>
    <t xml:space="preserve">Capital </t>
  </si>
  <si>
    <t>This tab provides details on the individual stormwater projects and its cashflow actuals (2016-2022) and projections (2023+). The project list goes back to 2016 so the project list for the 2016 OSL Bylaw update can be referenced.</t>
  </si>
  <si>
    <t>Tab 6</t>
  </si>
  <si>
    <t>Bow</t>
  </si>
  <si>
    <t>This tab provides a summary of Bow River catchment's historical and forecasted debt servicing to fund capital expenditures incurred.</t>
  </si>
  <si>
    <t>Tab 7</t>
  </si>
  <si>
    <t>Nose</t>
  </si>
  <si>
    <t>This tab provides a summary of Nose Creek catchment's historical and forecasted debt servicing to fund capital expenditures incurred.</t>
  </si>
  <si>
    <t>Tab 8</t>
  </si>
  <si>
    <t>Shepard</t>
  </si>
  <si>
    <t>This tab provides a summary of Shepard catchment's historical and forecasted debt servicing to fund capital expenditures incurred.</t>
  </si>
  <si>
    <t>Tab 9</t>
  </si>
  <si>
    <t>Fish</t>
  </si>
  <si>
    <t>This tab provides a summary of Fish Creek catchment's historical and forecasted debt servicing to fund capital expenditures incurred.</t>
  </si>
  <si>
    <t>Tab 10</t>
  </si>
  <si>
    <t>Pine</t>
  </si>
  <si>
    <t>This tab provides a summary of Pine Creek catchment's historical and forecasted debt servicing to fund capital expenditures incurred.</t>
  </si>
  <si>
    <t>Tab 11</t>
  </si>
  <si>
    <t>General</t>
  </si>
  <si>
    <t>This tab provides information on forecasted debt rates, payment schedule and land capacity.</t>
  </si>
  <si>
    <t>Tab 12</t>
  </si>
  <si>
    <t>Land absorption</t>
  </si>
  <si>
    <t>This provides details on land absorption per catchment.</t>
  </si>
  <si>
    <t>STORMWATER</t>
  </si>
  <si>
    <t>2024 Levy Rate</t>
  </si>
  <si>
    <t xml:space="preserve">This tab provides a high level summary of the steps that are taken to determine the citywide and catchment-based stormwater levy rate calculation. </t>
  </si>
  <si>
    <t>Step 1</t>
  </si>
  <si>
    <t>Step 2</t>
  </si>
  <si>
    <t>Step 3</t>
  </si>
  <si>
    <t>Step 4</t>
  </si>
  <si>
    <t>Step 5</t>
  </si>
  <si>
    <t>Step 6</t>
  </si>
  <si>
    <t>Calculate levy shortfall/balance as of December 31, 2023. Details for this step can be found from Tab 4 to Tab 10.</t>
  </si>
  <si>
    <t>Forecast capital costs eligible for off-site levy starting in 2024 based on benefit allocation. Details for this step can be found in Tab 5.</t>
  </si>
  <si>
    <t>Forecast total principal and interest obligation starting in 2024 (includes projects that were completed prior to 2024 but still have outstanding payment obligations and future debts for projects that have not started yet). Details for this step can be found from Tab 6 to Tab 11.</t>
  </si>
  <si>
    <t>Calculate the net present value of all debt servicing costs, including carried forward shortfall/balance. Details for this step can be found in Tab 2 and Tab 3.</t>
  </si>
  <si>
    <t>Forecast levy revenue cashflow based on agreed payment schedule. Details for this step can be found in Tab 2, Tab 3, Tab 11 and Tab 12.</t>
  </si>
  <si>
    <t>Calculate the Goal seeked rate by ensuring the net present value of levy revenue is equal to the net present value of principal and interest cost in 2024.</t>
  </si>
  <si>
    <t>A</t>
  </si>
  <si>
    <t>B</t>
  </si>
  <si>
    <t>C</t>
  </si>
  <si>
    <t>D</t>
  </si>
  <si>
    <t>E</t>
  </si>
  <si>
    <t>F</t>
  </si>
  <si>
    <t>Citywide Stormwater</t>
  </si>
  <si>
    <t>Bow River Catchment</t>
  </si>
  <si>
    <t>Nose Creek Catchment</t>
  </si>
  <si>
    <t>Shepard Catchment</t>
  </si>
  <si>
    <t>Fish Creek Catchment</t>
  </si>
  <si>
    <t>Elbow River Catchment</t>
  </si>
  <si>
    <t>Pine Creek Catchment</t>
  </si>
  <si>
    <t>Capacity rate calculation</t>
  </si>
  <si>
    <t>Cost of Serviced Land Capacity model based on "Leviable Land" provided by Geodemographics. This includes a total of estimated 4612 Ha from the 14 New Communities (14NC) and 27 Actively Developing Communities (ADC) of available and leviable land.</t>
  </si>
  <si>
    <t>Assumption: Uses Residential, Commercial and Industrial serviced land in the 14 New Communities and 27 Actively Developing Communities. Details can be found in Tab 11 and Tab 12.</t>
  </si>
  <si>
    <t>Discount/Escalation rate</t>
  </si>
  <si>
    <t>Method: determine rate to ensure net NPV is $0 (using Goal Seek function in excel)</t>
  </si>
  <si>
    <t>Simple Sum</t>
  </si>
  <si>
    <t>NPV</t>
  </si>
  <si>
    <t>2016A-2023 Surplus / (Shortfall)</t>
  </si>
  <si>
    <t>2024 Rates</t>
  </si>
  <si>
    <t>Projected Development Agreements to be signed</t>
  </si>
  <si>
    <t>Stormwater rate</t>
  </si>
  <si>
    <t>Stormwater Rate used</t>
  </si>
  <si>
    <t>Total rate</t>
  </si>
  <si>
    <t>Projected total Levy Revenue Stormwater</t>
  </si>
  <si>
    <t>principal &amp; Interest - Stormwater</t>
  </si>
  <si>
    <t>Total P&amp;I</t>
  </si>
  <si>
    <t>Levy revenue less P&amp;I = Surplus / (Shortfall)</t>
  </si>
  <si>
    <t>Remaining capacity in Stormwater systems</t>
  </si>
  <si>
    <t>Simple Difference between Revenue and P&amp;I ('000)</t>
  </si>
  <si>
    <t>Stormwater</t>
  </si>
  <si>
    <t>On Cumulative Basis</t>
  </si>
  <si>
    <t>Total Stormwater Surplus / (Shortfall)</t>
  </si>
  <si>
    <t>Cost of Serviced Land Capacity model based on "Leviable Land" provided by Geodemographics. This includes a total of 4293Ha from the 14 New Communities (14NC) and 27 Actively Developing Communities (ADC) of available and leviable land.</t>
  </si>
  <si>
    <t>Assumption: Uses Residential &amp; Commercial serviced land in the 14 New Communities and 27 Actively Developing Communities, does not include Industrial.</t>
  </si>
  <si>
    <r>
      <t>Basic methodology</t>
    </r>
    <r>
      <rPr>
        <sz val="10"/>
        <color rgb="FF00B050"/>
        <rFont val="Arial"/>
        <family val="2"/>
      </rPr>
      <t>:</t>
    </r>
    <r>
      <rPr>
        <sz val="10"/>
        <rFont val="Arial"/>
        <family val="2"/>
      </rPr>
      <t xml:space="preserve"> Total cost (NPV) plus total shortfall divided by "leviable land"</t>
    </r>
  </si>
  <si>
    <t>2016A-2021A Shortfall</t>
  </si>
  <si>
    <t>Total cost of infrastructure required to build out and service this land based on NET PRESENT VALUE (NPV) is:</t>
  </si>
  <si>
    <t>2022 Rates</t>
  </si>
  <si>
    <t>Water Linear (NPV of P&amp;I 2022-2046)</t>
  </si>
  <si>
    <t>=</t>
  </si>
  <si>
    <t>Water linear levy rate</t>
  </si>
  <si>
    <t>Water Rate used</t>
  </si>
  <si>
    <t>Wastewater Linear (NPV of P&amp;I 2022-2046)</t>
  </si>
  <si>
    <t>Wastewater linear levy rate</t>
  </si>
  <si>
    <t>Wastewater Rate used</t>
  </si>
  <si>
    <t>Projected total Levy Revenue Water</t>
  </si>
  <si>
    <t>Projected total Levy Revenue Wastewater</t>
  </si>
  <si>
    <t>Leviable Land</t>
  </si>
  <si>
    <t>Water Linear Shortfall</t>
  </si>
  <si>
    <t>Principle &amp; Interest - Water Linear</t>
  </si>
  <si>
    <t>Wastewater Linear Shortfall</t>
  </si>
  <si>
    <t>Principle &amp; Interest - Wastewater Linear</t>
  </si>
  <si>
    <t>Levy revenue less P&amp;I = Surplus (shortfall)</t>
  </si>
  <si>
    <t>Remaining capacity in Water &amp; Wastewater systems</t>
  </si>
  <si>
    <t>Water Linear</t>
  </si>
  <si>
    <t>Wastewater Linear</t>
  </si>
  <si>
    <t>Total Linear Shortfall</t>
  </si>
  <si>
    <t>Cost of Serviced Land Capacity model based on "Leviable Land" provided by Geodemographics. This includes a total of 4612 Ha from the 14 New Communities (14NC) and 27 Actively Developing Communities (ADC) of available and leviable land.</t>
  </si>
  <si>
    <t>Assumption: Uses Residential, Commercial and Industrial serviced land in the 14 New Communities and 27 Actively Developing Communities.</t>
  </si>
  <si>
    <t>Bow DAs to be signed</t>
  </si>
  <si>
    <t>Nose DAs to be signed</t>
  </si>
  <si>
    <t>Shepard DAs to be signed</t>
  </si>
  <si>
    <t>Fish DAs to be signed</t>
  </si>
  <si>
    <t>Elbow DAs to be signed</t>
  </si>
  <si>
    <t>Pine DAs to be signed</t>
  </si>
  <si>
    <t>Bow rate</t>
  </si>
  <si>
    <t>Bow rate used</t>
  </si>
  <si>
    <t>Nose rate</t>
  </si>
  <si>
    <t>Nose rate used</t>
  </si>
  <si>
    <t>Shepard rate</t>
  </si>
  <si>
    <t>Shepard rate used</t>
  </si>
  <si>
    <t>Fish rate</t>
  </si>
  <si>
    <t>Fish rate used</t>
  </si>
  <si>
    <t>Elbow rate</t>
  </si>
  <si>
    <t>Elbow rate used</t>
  </si>
  <si>
    <t>Pine rate</t>
  </si>
  <si>
    <t>Pine rate used</t>
  </si>
  <si>
    <t>Projected Bow Revenue</t>
  </si>
  <si>
    <t>Projected Nose Revenue</t>
  </si>
  <si>
    <t>Projected Shepard Revenue</t>
  </si>
  <si>
    <t>Projected Fish Revenue</t>
  </si>
  <si>
    <t>Projected Elbow Revenue</t>
  </si>
  <si>
    <t>Projected Pine Revenue</t>
  </si>
  <si>
    <t>principal &amp; Interest - Bow</t>
  </si>
  <si>
    <t>principal &amp; Interest - Nose</t>
  </si>
  <si>
    <t>principal &amp; Interest - Shepard</t>
  </si>
  <si>
    <t>principal &amp; Interest - Fish</t>
  </si>
  <si>
    <t>principal &amp; Interest - Elbow</t>
  </si>
  <si>
    <t>principal &amp; Interest - Pine</t>
  </si>
  <si>
    <t>$000's</t>
  </si>
  <si>
    <t>2016 Opening Levy Balance</t>
  </si>
  <si>
    <t>2011 bylaw</t>
  </si>
  <si>
    <t>To be billed in 2024</t>
  </si>
  <si>
    <t>To be billed in 2025</t>
  </si>
  <si>
    <t>Levy balance in 2023</t>
  </si>
  <si>
    <t>Bow River</t>
  </si>
  <si>
    <t>Elbow River</t>
  </si>
  <si>
    <t>Fish Creek</t>
  </si>
  <si>
    <t>Pine Creek</t>
  </si>
  <si>
    <t>Nose Creek</t>
  </si>
  <si>
    <t>Total hectares (Ha)</t>
  </si>
  <si>
    <t>Capital expenditures</t>
  </si>
  <si>
    <t>OSL expenditure</t>
  </si>
  <si>
    <t>Principal</t>
  </si>
  <si>
    <t>Interest</t>
  </si>
  <si>
    <t>Debt servicing</t>
  </si>
  <si>
    <t>Annual levy rate ($)</t>
  </si>
  <si>
    <t>Revenue</t>
  </si>
  <si>
    <t>Investment income</t>
  </si>
  <si>
    <t>Annual surplus/(shortfall)</t>
  </si>
  <si>
    <t>Cumulative surplus/(shortfall)</t>
  </si>
  <si>
    <t>2011 Revenue</t>
  </si>
  <si>
    <t>Investment Income</t>
  </si>
  <si>
    <t>TOTAL LEVY SURPLUS / (SHORTFALL)</t>
  </si>
  <si>
    <t>Utilities Growth Related Infrastructure</t>
  </si>
  <si>
    <t>2016-2036</t>
  </si>
  <si>
    <t>In Thousands ($000's), 2016-2022 numbers are actuals, 2023+ are projected</t>
  </si>
  <si>
    <t>Project Name</t>
  </si>
  <si>
    <t xml:space="preserve"> Program</t>
  </si>
  <si>
    <t>%</t>
  </si>
  <si>
    <t>Total Actual/Projected</t>
  </si>
  <si>
    <t>Greenfield Only</t>
  </si>
  <si>
    <t>Growth</t>
  </si>
  <si>
    <t>Greenfield</t>
  </si>
  <si>
    <t>Redevelopment</t>
  </si>
  <si>
    <t>Regional</t>
  </si>
  <si>
    <t>Total</t>
  </si>
  <si>
    <t>2016-2032
Total</t>
  </si>
  <si>
    <t>897 Drainage Infrastructure</t>
  </si>
  <si>
    <t>Priddis Storm Trunk Outfall</t>
  </si>
  <si>
    <t>897-000 Drainage Facilities &amp; Network</t>
  </si>
  <si>
    <t>Shepard Land Purchase</t>
  </si>
  <si>
    <t>North Ridge Macdonald Trunk</t>
  </si>
  <si>
    <t>144 Av NE Storm Trunk</t>
  </si>
  <si>
    <t>North Beddington Storm Trunk</t>
  </si>
  <si>
    <t>Seton Storm Trunk Phase 1</t>
  </si>
  <si>
    <t>Haskayne Outfall</t>
  </si>
  <si>
    <t xml:space="preserve">Providence Storm Trunk Phase 1 </t>
  </si>
  <si>
    <t>Providence Storm Trunk Phase 2</t>
  </si>
  <si>
    <t>Co-operative Stormwater Management Initiative</t>
  </si>
  <si>
    <t>Forest Lawn Creek Improvements</t>
  </si>
  <si>
    <t>Master Drainage Plans - Shepard</t>
  </si>
  <si>
    <t>Master Drainage Plans - Pine Creek</t>
  </si>
  <si>
    <t>Master Drainage Plans - Nose Creek</t>
  </si>
  <si>
    <t>Total Capital Expenditures</t>
  </si>
  <si>
    <t>Total Stormwater</t>
  </si>
  <si>
    <t>Storm - Bow River PRG 897</t>
  </si>
  <si>
    <t>Debt term is 25 years till 2023 &amp; 15 years from 2024 forward</t>
  </si>
  <si>
    <t>$000's, 2016-2022 hectares and financial numbers are actuals, 2023+ are projected</t>
  </si>
  <si>
    <t>Greenfield 2016 OSL (Debt Taken)</t>
  </si>
  <si>
    <t>Interest Rate</t>
  </si>
  <si>
    <t>2.69%-3.13%</t>
  </si>
  <si>
    <t>2.06%-2.29%</t>
  </si>
  <si>
    <t>2.7%-3.39%</t>
  </si>
  <si>
    <t>3.76%-5.05%</t>
  </si>
  <si>
    <t>Term (in years)</t>
  </si>
  <si>
    <t>Greenfield 2016 OSL (Debt Forecasted)</t>
  </si>
  <si>
    <t>Prior years' debt principal</t>
  </si>
  <si>
    <t>Prior years' debt interest</t>
  </si>
  <si>
    <t>Debt Taken in current year</t>
  </si>
  <si>
    <t xml:space="preserve">Debt Servicing </t>
  </si>
  <si>
    <t>Greenfield Debt Taken</t>
  </si>
  <si>
    <t>Total Debt Taken</t>
  </si>
  <si>
    <t>Total Principal</t>
  </si>
  <si>
    <t>Total Interest</t>
  </si>
  <si>
    <t xml:space="preserve">Total Debt Servicing </t>
  </si>
  <si>
    <t>Debt Forecasted</t>
  </si>
  <si>
    <t>Balance mid year</t>
  </si>
  <si>
    <t>Total Debt Forecasted</t>
  </si>
  <si>
    <t>Total Debt (Actual + Forecast)</t>
  </si>
  <si>
    <t>Storm - Nose Creek PRG 897</t>
  </si>
  <si>
    <t>3.08%-3.12%</t>
  </si>
  <si>
    <t>3.76%-4.87%</t>
  </si>
  <si>
    <t>5.19%-5.33%</t>
  </si>
  <si>
    <t>Storm - Shepard PRG 897</t>
  </si>
  <si>
    <t>4.37%/4.88%</t>
  </si>
  <si>
    <t>4.37%/4.61%</t>
  </si>
  <si>
    <t>Storm - Fish Creek PRG 897</t>
  </si>
  <si>
    <t>2.48%-2.79%</t>
  </si>
  <si>
    <t>Storm - Pine Creek PRG 897</t>
  </si>
  <si>
    <t>3%-3.24%</t>
  </si>
  <si>
    <t>2.48%-3.39%</t>
  </si>
  <si>
    <t>Debt Rates (compounded semi-annually)</t>
  </si>
  <si>
    <t>Projected as of August 9, 2023</t>
  </si>
  <si>
    <t>15 year</t>
  </si>
  <si>
    <t>25 year</t>
  </si>
  <si>
    <t>Debt rates are set by the ACFA (link below to historical rates) and have been projected by The City Treasury group</t>
  </si>
  <si>
    <t>Historical rates can be found here</t>
  </si>
  <si>
    <t>Payment schedule (estimated based on historical payment trend)</t>
  </si>
  <si>
    <t>1st Payment</t>
  </si>
  <si>
    <t>2nd Payment</t>
  </si>
  <si>
    <t>Land Capacity</t>
  </si>
  <si>
    <t>WATERSHED</t>
  </si>
  <si>
    <t>Industrial (serviced) December 31, 2022</t>
  </si>
  <si>
    <t>Residential (serviced or GMO removed) December 31, 2022</t>
  </si>
  <si>
    <t>Total December 31, 2022</t>
  </si>
  <si>
    <t>Estimated 2023 Development Agreement Signed</t>
  </si>
  <si>
    <t>Total December 31, 2023</t>
  </si>
  <si>
    <t>BOW RIVER</t>
  </si>
  <si>
    <t>ELBOW RIVER</t>
  </si>
  <si>
    <t>FISH CREEK</t>
  </si>
  <si>
    <t>NOSE CREEK</t>
  </si>
  <si>
    <t>PINE CREEK</t>
  </si>
  <si>
    <t>SHEPARD</t>
  </si>
  <si>
    <t>Grand Total</t>
  </si>
  <si>
    <t>2016-2022 %</t>
  </si>
  <si>
    <t>2020-2022%</t>
  </si>
  <si>
    <t>2023-2027</t>
  </si>
  <si>
    <t>2028 +</t>
  </si>
  <si>
    <t>land forecast (ha)</t>
  </si>
  <si>
    <t>Elbow</t>
  </si>
  <si>
    <t>Total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</si>
</sst>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_-* #,##0.00_-;\-* #,##0.00_-;_-* &quot;-&quot;??_-;_-@_-"/>
    <numFmt numFmtId="165" formatCode="_(&quot;$&quot;* #,##0_);_(&quot;$&quot;* \(#,##0\);_(&quot;$&quot;* &quot;-&quot;??_);_(@_)"/>
    <numFmt numFmtId="166" formatCode="_(* #,##0_);_(* \(#,##0\);_(* &quot;-&quot;??_);_(@_)"/>
    <numFmt numFmtId="167" formatCode="0.0%"/>
    <numFmt numFmtId="168" formatCode="_-* #,##0_-;\-* #,##0_-;_-* &quot;-&quot;??_-;_-@_-"/>
    <numFmt numFmtId="169" formatCode="0.00000000000000%"/>
    <numFmt numFmtId="170" formatCode="0.000000000"/>
    <numFmt numFmtId="171" formatCode="0.000%"/>
    <numFmt numFmtId="172" formatCode="0.0000%"/>
    <numFmt numFmtId="173" formatCode="#,##0.0000_);\(#,##0.0000\)"/>
    <numFmt numFmtId="174" formatCode="_(* #,##0.000_);_(* \(#,##0.000\);_(* &quot;-&quot;??_);_(@_)"/>
    <numFmt numFmtId="175" formatCode="_(* #,###&quot;$/Ha&quot;_);_(* \(#,##0.0\);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0"/>
      <name val="Arial"/>
      <family val="2"/>
    </font>
    <font>
      <sz val="8"/>
      <name val="Arial"/>
      <family val="2"/>
    </font>
    <font>
      <sz val="10"/>
      <name val="Arial"/>
      <family val="2"/>
    </font>
    <font>
      <sz val="10"/>
      <name val="Arial"/>
      <family val="2"/>
    </font>
    <font>
      <sz val="10"/>
      <color rgb="FFFF0000"/>
      <name val="Arial"/>
      <family val="2"/>
    </font>
    <font>
      <sz val="9"/>
      <color indexed="81"/>
      <name val="Tahoma"/>
      <family val="2"/>
    </font>
    <font>
      <b/>
      <sz val="9"/>
      <color indexed="81"/>
      <name val="Tahoma"/>
      <family val="2"/>
    </font>
    <font>
      <sz val="10"/>
      <color theme="1"/>
      <name val="Arial"/>
      <family val="2"/>
    </font>
    <font>
      <b/>
      <sz val="10"/>
      <color rgb="FFFF0000"/>
      <name val="Arial"/>
      <family val="2"/>
    </font>
    <font>
      <i/>
      <sz val="10"/>
      <name val="Arial"/>
      <family val="2"/>
    </font>
    <font>
      <b/>
      <sz val="12"/>
      <name val="Arial"/>
      <family val="2"/>
    </font>
    <font>
      <b/>
      <u/>
      <sz val="12"/>
      <name val="Arial"/>
      <family val="2"/>
    </font>
    <font>
      <b/>
      <sz val="10"/>
      <color theme="1"/>
      <name val="Arial"/>
      <family val="2"/>
    </font>
    <font>
      <b/>
      <u/>
      <sz val="10"/>
      <color theme="1"/>
      <name val="Arial"/>
      <family val="2"/>
    </font>
    <font>
      <sz val="10"/>
      <color rgb="FF00B050"/>
      <name val="Arial"/>
      <family val="2"/>
    </font>
    <font>
      <b/>
      <sz val="10"/>
      <color rgb="FF00B050"/>
      <name val="Arial"/>
      <family val="2"/>
    </font>
    <font>
      <u/>
      <sz val="10"/>
      <color theme="10"/>
      <name val="Arial"/>
      <family val="2"/>
    </font>
    <font>
      <sz val="10"/>
      <color rgb="FF0000CC"/>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Arial"/>
      <family val="2"/>
    </font>
    <font>
      <sz val="10"/>
      <color rgb="FFC00000"/>
      <name val="Arial"/>
      <family val="2"/>
    </font>
    <font>
      <b/>
      <sz val="14"/>
      <color theme="1"/>
      <name val="Arial"/>
      <family val="2"/>
    </font>
    <font>
      <sz val="14"/>
      <color theme="1"/>
      <name val="Calibri"/>
      <family val="2"/>
      <scheme val="minor"/>
    </font>
    <font>
      <sz val="11"/>
      <color theme="1"/>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s>
  <borders count="2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auto="1"/>
      </top>
      <bottom/>
      <diagonal/>
    </border>
    <border>
      <left/>
      <right style="medium">
        <color rgb="FF00B050"/>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B050"/>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40">
    <xf numFmtId="0" fontId="0" fillId="0" borderId="0"/>
    <xf numFmtId="0" fontId="11"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1" fillId="0" borderId="0" applyFont="0" applyFill="0" applyBorder="0" applyAlignment="0" applyProtection="0"/>
    <xf numFmtId="44" fontId="13"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5" fillId="0" borderId="0">
      <alignment horizontal="left"/>
    </xf>
    <xf numFmtId="44" fontId="9" fillId="0" borderId="0" applyFont="0" applyFill="0" applyBorder="0" applyAlignment="0" applyProtection="0"/>
    <xf numFmtId="9" fontId="16" fillId="0" borderId="0" applyFont="0" applyFill="0" applyBorder="0" applyAlignment="0" applyProtection="0"/>
    <xf numFmtId="43" fontId="1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44" fontId="7" fillId="0" borderId="0" applyFont="0" applyFill="0" applyBorder="0" applyAlignment="0" applyProtection="0"/>
    <xf numFmtId="43" fontId="21"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21" fillId="0" borderId="0"/>
    <xf numFmtId="9" fontId="21" fillId="0" borderId="0" applyFont="0" applyFill="0" applyBorder="0" applyAlignment="0" applyProtection="0"/>
    <xf numFmtId="0" fontId="11" fillId="0" borderId="0"/>
    <xf numFmtId="43" fontId="6" fillId="0" borderId="0" applyFont="0" applyFill="0" applyBorder="0" applyAlignment="0" applyProtection="0"/>
    <xf numFmtId="43" fontId="11" fillId="0" borderId="0" applyFont="0" applyFill="0" applyBorder="0" applyAlignment="0" applyProtection="0"/>
    <xf numFmtId="9" fontId="6" fillId="0" borderId="0" applyFont="0" applyFill="0" applyBorder="0" applyAlignment="0" applyProtection="0"/>
    <xf numFmtId="0" fontId="6" fillId="0" borderId="0"/>
    <xf numFmtId="0" fontId="30" fillId="0" borderId="0" applyNumberFormat="0" applyFill="0" applyBorder="0" applyAlignment="0" applyProtection="0"/>
    <xf numFmtId="0" fontId="5" fillId="0" borderId="0"/>
    <xf numFmtId="0" fontId="32"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11" fillId="0" borderId="0" applyFont="0" applyFill="0" applyBorder="0" applyAlignment="0" applyProtection="0"/>
  </cellStyleXfs>
  <cellXfs count="264">
    <xf numFmtId="0" fontId="0" fillId="0" borderId="0" xfId="0"/>
    <xf numFmtId="0" fontId="11" fillId="2" borderId="0" xfId="0" applyFont="1" applyFill="1"/>
    <xf numFmtId="166" fontId="11" fillId="2" borderId="0" xfId="13" applyNumberFormat="1" applyFont="1" applyFill="1" applyBorder="1"/>
    <xf numFmtId="0" fontId="12" fillId="2" borderId="8" xfId="0" applyFont="1" applyFill="1" applyBorder="1" applyAlignment="1">
      <alignment horizontal="right"/>
    </xf>
    <xf numFmtId="0" fontId="11" fillId="2" borderId="6" xfId="0" applyFont="1" applyFill="1" applyBorder="1"/>
    <xf numFmtId="165" fontId="11" fillId="2" borderId="0" xfId="6" applyNumberFormat="1" applyFont="1" applyFill="1" applyBorder="1"/>
    <xf numFmtId="165" fontId="12" fillId="2" borderId="0" xfId="0" applyNumberFormat="1" applyFont="1" applyFill="1"/>
    <xf numFmtId="0" fontId="12" fillId="4" borderId="4" xfId="0" applyFont="1" applyFill="1" applyBorder="1" applyAlignment="1">
      <alignment horizontal="right" wrapText="1"/>
    </xf>
    <xf numFmtId="0" fontId="11" fillId="0" borderId="0" xfId="0" applyFont="1" applyAlignment="1">
      <alignment horizontal="left"/>
    </xf>
    <xf numFmtId="0" fontId="0" fillId="0" borderId="0" xfId="0" applyAlignment="1">
      <alignment horizontal="left"/>
    </xf>
    <xf numFmtId="172" fontId="0" fillId="0" borderId="0" xfId="12" applyNumberFormat="1" applyFont="1"/>
    <xf numFmtId="43" fontId="12" fillId="0" borderId="0" xfId="13" applyFont="1" applyAlignment="1">
      <alignment horizontal="right"/>
    </xf>
    <xf numFmtId="0" fontId="12" fillId="0" borderId="17" xfId="18" applyNumberFormat="1" applyFont="1" applyFill="1" applyBorder="1" applyAlignment="1">
      <alignment horizontal="center" vertical="center" wrapText="1"/>
    </xf>
    <xf numFmtId="166" fontId="11" fillId="0" borderId="0" xfId="13" applyNumberFormat="1" applyFont="1" applyFill="1" applyBorder="1"/>
    <xf numFmtId="167" fontId="11" fillId="0" borderId="0" xfId="20" applyNumberFormat="1" applyFont="1" applyFill="1" applyBorder="1" applyAlignment="1">
      <alignment vertical="center"/>
    </xf>
    <xf numFmtId="167" fontId="11" fillId="0" borderId="0" xfId="20" applyNumberFormat="1" applyFont="1" applyFill="1" applyBorder="1" applyAlignment="1">
      <alignment horizontal="right" vertical="center"/>
    </xf>
    <xf numFmtId="166" fontId="11" fillId="0" borderId="0" xfId="19" applyNumberFormat="1" applyFont="1" applyFill="1" applyBorder="1" applyAlignment="1">
      <alignment horizontal="left"/>
    </xf>
    <xf numFmtId="166" fontId="11" fillId="0" borderId="0" xfId="19" applyNumberFormat="1" applyFont="1" applyFill="1" applyBorder="1"/>
    <xf numFmtId="0" fontId="12" fillId="0" borderId="0" xfId="22" applyFont="1" applyAlignment="1">
      <alignment horizontal="center"/>
    </xf>
    <xf numFmtId="0" fontId="11" fillId="0" borderId="0" xfId="22" applyFont="1"/>
    <xf numFmtId="0" fontId="11" fillId="0" borderId="0" xfId="22" applyFont="1" applyAlignment="1">
      <alignment horizontal="left"/>
    </xf>
    <xf numFmtId="0" fontId="12" fillId="0" borderId="0" xfId="22" applyFont="1" applyAlignment="1">
      <alignment horizontal="left"/>
    </xf>
    <xf numFmtId="0" fontId="11" fillId="0" borderId="0" xfId="0" applyFont="1"/>
    <xf numFmtId="43" fontId="12" fillId="2" borderId="0" xfId="13" applyFont="1" applyFill="1" applyAlignment="1">
      <alignment horizontal="right"/>
    </xf>
    <xf numFmtId="0" fontId="25" fillId="2" borderId="0" xfId="0" applyFont="1" applyFill="1"/>
    <xf numFmtId="0" fontId="12" fillId="2" borderId="8" xfId="0" applyFont="1" applyFill="1" applyBorder="1"/>
    <xf numFmtId="165" fontId="11" fillId="2" borderId="0" xfId="0" applyNumberFormat="1" applyFont="1" applyFill="1"/>
    <xf numFmtId="165" fontId="12" fillId="0" borderId="11" xfId="6" applyNumberFormat="1" applyFont="1" applyFill="1" applyBorder="1"/>
    <xf numFmtId="166" fontId="11" fillId="2" borderId="0" xfId="0" applyNumberFormat="1" applyFont="1" applyFill="1"/>
    <xf numFmtId="0" fontId="11" fillId="2" borderId="7" xfId="0" applyFont="1" applyFill="1" applyBorder="1"/>
    <xf numFmtId="10" fontId="11" fillId="0" borderId="0" xfId="0" applyNumberFormat="1" applyFont="1"/>
    <xf numFmtId="165" fontId="11" fillId="0" borderId="0" xfId="6" applyNumberFormat="1" applyFont="1" applyFill="1"/>
    <xf numFmtId="166" fontId="11" fillId="2" borderId="0" xfId="13" applyNumberFormat="1" applyFont="1" applyFill="1"/>
    <xf numFmtId="0" fontId="11" fillId="2" borderId="1" xfId="0" applyFont="1" applyFill="1" applyBorder="1"/>
    <xf numFmtId="0" fontId="11" fillId="4" borderId="5" xfId="0" applyFont="1" applyFill="1" applyBorder="1"/>
    <xf numFmtId="165" fontId="11" fillId="2" borderId="3" xfId="0" applyNumberFormat="1" applyFont="1" applyFill="1" applyBorder="1"/>
    <xf numFmtId="164" fontId="11" fillId="2" borderId="0" xfId="0" applyNumberFormat="1" applyFont="1" applyFill="1"/>
    <xf numFmtId="166" fontId="11" fillId="2" borderId="0" xfId="8" applyNumberFormat="1" applyFont="1" applyFill="1" applyBorder="1"/>
    <xf numFmtId="38" fontId="11" fillId="2" borderId="0" xfId="8" applyNumberFormat="1" applyFont="1" applyFill="1" applyBorder="1"/>
    <xf numFmtId="38" fontId="11" fillId="2" borderId="9" xfId="8" applyNumberFormat="1" applyFont="1" applyFill="1" applyBorder="1"/>
    <xf numFmtId="38" fontId="11" fillId="2" borderId="0" xfId="13" applyNumberFormat="1" applyFont="1" applyFill="1" applyBorder="1"/>
    <xf numFmtId="38" fontId="11" fillId="2" borderId="9" xfId="13" applyNumberFormat="1" applyFont="1" applyFill="1" applyBorder="1"/>
    <xf numFmtId="38" fontId="11" fillId="2" borderId="0" xfId="0" applyNumberFormat="1" applyFont="1" applyFill="1"/>
    <xf numFmtId="38" fontId="11" fillId="4" borderId="5" xfId="0" applyNumberFormat="1" applyFont="1" applyFill="1" applyBorder="1"/>
    <xf numFmtId="38" fontId="11" fillId="2" borderId="9" xfId="0" applyNumberFormat="1" applyFont="1" applyFill="1" applyBorder="1"/>
    <xf numFmtId="38" fontId="11" fillId="2" borderId="3" xfId="0" applyNumberFormat="1" applyFont="1" applyFill="1" applyBorder="1"/>
    <xf numFmtId="38" fontId="11" fillId="2" borderId="10" xfId="0" applyNumberFormat="1" applyFont="1" applyFill="1" applyBorder="1"/>
    <xf numFmtId="38" fontId="11" fillId="4" borderId="2" xfId="0" applyNumberFormat="1" applyFont="1" applyFill="1" applyBorder="1"/>
    <xf numFmtId="38" fontId="12" fillId="2" borderId="0" xfId="0" applyNumberFormat="1" applyFont="1" applyFill="1" applyAlignment="1">
      <alignment horizontal="right"/>
    </xf>
    <xf numFmtId="38" fontId="11" fillId="0" borderId="0" xfId="0" applyNumberFormat="1" applyFont="1"/>
    <xf numFmtId="165" fontId="11" fillId="0" borderId="3" xfId="6" applyNumberFormat="1" applyFont="1" applyFill="1" applyBorder="1"/>
    <xf numFmtId="165" fontId="12" fillId="0" borderId="0" xfId="6" applyNumberFormat="1" applyFont="1" applyFill="1"/>
    <xf numFmtId="165" fontId="11" fillId="3" borderId="0" xfId="6" applyNumberFormat="1" applyFont="1" applyFill="1"/>
    <xf numFmtId="0" fontId="21" fillId="0" borderId="0" xfId="14" applyFont="1"/>
    <xf numFmtId="0" fontId="26" fillId="0" borderId="0" xfId="14" applyFont="1"/>
    <xf numFmtId="166" fontId="11" fillId="0" borderId="0" xfId="15" applyNumberFormat="1" applyFont="1" applyFill="1" applyBorder="1"/>
    <xf numFmtId="168" fontId="11" fillId="0" borderId="0" xfId="15" applyNumberFormat="1" applyFont="1" applyFill="1" applyBorder="1"/>
    <xf numFmtId="0" fontId="21" fillId="0" borderId="0" xfId="14" applyFont="1" applyAlignment="1">
      <alignment horizontal="left"/>
    </xf>
    <xf numFmtId="166" fontId="21" fillId="0" borderId="0" xfId="13" applyNumberFormat="1" applyFont="1" applyFill="1" applyBorder="1"/>
    <xf numFmtId="0" fontId="14" fillId="0" borderId="0" xfId="0" applyFont="1" applyAlignment="1">
      <alignment horizontal="left"/>
    </xf>
    <xf numFmtId="166" fontId="11" fillId="0" borderId="0" xfId="0" applyNumberFormat="1" applyFont="1"/>
    <xf numFmtId="43" fontId="11" fillId="2" borderId="0" xfId="0" applyNumberFormat="1" applyFont="1" applyFill="1"/>
    <xf numFmtId="43" fontId="11" fillId="2" borderId="0" xfId="13" applyFont="1" applyFill="1"/>
    <xf numFmtId="165" fontId="12" fillId="0" borderId="0" xfId="6" applyNumberFormat="1" applyFont="1" applyFill="1" applyBorder="1"/>
    <xf numFmtId="167" fontId="11" fillId="0" borderId="0" xfId="12" applyNumberFormat="1" applyFont="1" applyFill="1" applyBorder="1"/>
    <xf numFmtId="168" fontId="12" fillId="0" borderId="0" xfId="0" applyNumberFormat="1" applyFont="1"/>
    <xf numFmtId="168" fontId="11" fillId="0" borderId="0" xfId="0" applyNumberFormat="1" applyFont="1"/>
    <xf numFmtId="167" fontId="11" fillId="0" borderId="0" xfId="20" applyNumberFormat="1" applyFont="1" applyFill="1" applyBorder="1" applyAlignment="1">
      <alignment horizontal="center" vertical="center"/>
    </xf>
    <xf numFmtId="0" fontId="12" fillId="5" borderId="0" xfId="17" applyFont="1" applyFill="1" applyAlignment="1">
      <alignment vertical="center"/>
    </xf>
    <xf numFmtId="166" fontId="11" fillId="5" borderId="0" xfId="26" applyNumberFormat="1" applyFont="1" applyFill="1" applyBorder="1" applyAlignment="1">
      <alignment horizontal="left" vertical="center"/>
    </xf>
    <xf numFmtId="166" fontId="11" fillId="0" borderId="0" xfId="26" applyNumberFormat="1" applyFont="1" applyFill="1" applyBorder="1" applyAlignment="1">
      <alignment horizontal="left" vertical="center"/>
    </xf>
    <xf numFmtId="166" fontId="11" fillId="0" borderId="0" xfId="26" applyNumberFormat="1" applyFont="1" applyFill="1" applyBorder="1" applyAlignment="1">
      <alignment vertical="center"/>
    </xf>
    <xf numFmtId="0" fontId="12" fillId="0" borderId="0" xfId="0" applyFont="1"/>
    <xf numFmtId="171" fontId="11" fillId="0" borderId="0" xfId="12" applyNumberFormat="1" applyFont="1" applyFill="1"/>
    <xf numFmtId="166" fontId="11" fillId="0" borderId="0" xfId="8" applyNumberFormat="1" applyFont="1" applyFill="1" applyBorder="1"/>
    <xf numFmtId="0" fontId="12" fillId="2" borderId="0" xfId="0" applyFont="1" applyFill="1"/>
    <xf numFmtId="0" fontId="12" fillId="2" borderId="0" xfId="0" applyFont="1" applyFill="1" applyAlignment="1">
      <alignment horizontal="right"/>
    </xf>
    <xf numFmtId="38" fontId="11" fillId="0" borderId="0" xfId="13" applyNumberFormat="1" applyFont="1" applyFill="1" applyBorder="1"/>
    <xf numFmtId="38" fontId="11" fillId="0" borderId="0" xfId="8" applyNumberFormat="1" applyFont="1" applyFill="1" applyBorder="1"/>
    <xf numFmtId="38" fontId="11" fillId="0" borderId="3" xfId="0" applyNumberFormat="1" applyFont="1" applyBorder="1"/>
    <xf numFmtId="0" fontId="12" fillId="0" borderId="19" xfId="0" applyFont="1" applyBorder="1"/>
    <xf numFmtId="166" fontId="11" fillId="0" borderId="9" xfId="13" applyNumberFormat="1" applyFont="1" applyFill="1" applyBorder="1"/>
    <xf numFmtId="38" fontId="11" fillId="0" borderId="9" xfId="0" applyNumberFormat="1" applyFont="1" applyBorder="1"/>
    <xf numFmtId="38" fontId="11" fillId="0" borderId="9" xfId="13" applyNumberFormat="1" applyFont="1" applyFill="1" applyBorder="1"/>
    <xf numFmtId="38" fontId="11" fillId="0" borderId="9" xfId="8" applyNumberFormat="1" applyFont="1" applyFill="1" applyBorder="1"/>
    <xf numFmtId="38" fontId="11" fillId="0" borderId="10" xfId="0" applyNumberFormat="1" applyFont="1" applyBorder="1"/>
    <xf numFmtId="0" fontId="12" fillId="0" borderId="19" xfId="0" applyFont="1" applyBorder="1" applyAlignment="1">
      <alignment horizontal="right"/>
    </xf>
    <xf numFmtId="165" fontId="11" fillId="0" borderId="0" xfId="6" applyNumberFormat="1" applyFont="1" applyFill="1" applyBorder="1"/>
    <xf numFmtId="166" fontId="11" fillId="2" borderId="0" xfId="26" applyNumberFormat="1" applyFont="1" applyFill="1" applyBorder="1"/>
    <xf numFmtId="166" fontId="12" fillId="0" borderId="0" xfId="19" applyNumberFormat="1" applyFont="1" applyFill="1" applyBorder="1" applyAlignment="1">
      <alignment horizontal="center"/>
    </xf>
    <xf numFmtId="166" fontId="11" fillId="0" borderId="0" xfId="22" applyNumberFormat="1" applyFont="1" applyAlignment="1">
      <alignment horizontal="right"/>
    </xf>
    <xf numFmtId="0" fontId="11" fillId="0" borderId="0" xfId="22" applyFont="1" applyAlignment="1">
      <alignment horizontal="right"/>
    </xf>
    <xf numFmtId="0" fontId="12" fillId="0" borderId="0" xfId="22" applyFont="1" applyAlignment="1">
      <alignment horizontal="right"/>
    </xf>
    <xf numFmtId="166" fontId="11" fillId="0" borderId="0" xfId="19" applyNumberFormat="1" applyFont="1" applyFill="1" applyBorder="1" applyAlignment="1">
      <alignment horizontal="right"/>
    </xf>
    <xf numFmtId="10" fontId="12" fillId="0" borderId="0" xfId="23" applyNumberFormat="1" applyFont="1" applyFill="1" applyBorder="1" applyAlignment="1">
      <alignment horizontal="right"/>
    </xf>
    <xf numFmtId="0" fontId="11" fillId="0" borderId="0" xfId="22" applyFont="1" applyAlignment="1">
      <alignment horizontal="left" wrapText="1"/>
    </xf>
    <xf numFmtId="166" fontId="12" fillId="0" borderId="0" xfId="26" applyNumberFormat="1" applyFont="1" applyFill="1" applyBorder="1" applyAlignment="1">
      <alignment horizontal="right"/>
    </xf>
    <xf numFmtId="166" fontId="12" fillId="0" borderId="0" xfId="26" applyNumberFormat="1" applyFont="1" applyFill="1" applyBorder="1" applyAlignment="1">
      <alignment horizontal="right" wrapText="1"/>
    </xf>
    <xf numFmtId="166" fontId="11" fillId="0" borderId="0" xfId="26" applyNumberFormat="1" applyFont="1" applyFill="1" applyBorder="1" applyAlignment="1">
      <alignment horizontal="right" vertical="top"/>
    </xf>
    <xf numFmtId="166" fontId="11" fillId="0" borderId="0" xfId="26" applyNumberFormat="1" applyFont="1" applyFill="1" applyBorder="1" applyAlignment="1">
      <alignment horizontal="right"/>
    </xf>
    <xf numFmtId="0" fontId="12" fillId="0" borderId="0" xfId="22" applyFont="1" applyAlignment="1">
      <alignment horizontal="right" wrapText="1"/>
    </xf>
    <xf numFmtId="166" fontId="12" fillId="0" borderId="0" xfId="26" applyNumberFormat="1" applyFont="1" applyFill="1" applyBorder="1" applyAlignment="1">
      <alignment horizontal="left"/>
    </xf>
    <xf numFmtId="166" fontId="11" fillId="0" borderId="0" xfId="26" applyNumberFormat="1" applyFont="1" applyFill="1" applyBorder="1"/>
    <xf numFmtId="166" fontId="12" fillId="0" borderId="0" xfId="26" applyNumberFormat="1" applyFont="1" applyFill="1" applyBorder="1"/>
    <xf numFmtId="0" fontId="12" fillId="0" borderId="0" xfId="22" applyFont="1"/>
    <xf numFmtId="166" fontId="11" fillId="0" borderId="0" xfId="26" applyNumberFormat="1" applyFont="1" applyFill="1" applyBorder="1" applyAlignment="1">
      <alignment horizontal="right" wrapText="1"/>
    </xf>
    <xf numFmtId="166" fontId="11" fillId="0" borderId="0" xfId="26" applyNumberFormat="1" applyFont="1"/>
    <xf numFmtId="0" fontId="11" fillId="6" borderId="0" xfId="0" applyFont="1" applyFill="1"/>
    <xf numFmtId="10" fontId="11" fillId="6" borderId="0" xfId="0" applyNumberFormat="1" applyFont="1" applyFill="1"/>
    <xf numFmtId="38" fontId="11" fillId="6" borderId="0" xfId="0" applyNumberFormat="1" applyFont="1" applyFill="1"/>
    <xf numFmtId="0" fontId="24" fillId="0" borderId="0" xfId="22" applyFont="1" applyAlignment="1">
      <alignment horizontal="left"/>
    </xf>
    <xf numFmtId="0" fontId="18" fillId="0" borderId="0" xfId="22" applyFont="1"/>
    <xf numFmtId="0" fontId="23" fillId="0" borderId="0" xfId="22" applyFont="1" applyAlignment="1">
      <alignment horizontal="left" wrapText="1"/>
    </xf>
    <xf numFmtId="0" fontId="12" fillId="0" borderId="0" xfId="22" applyFont="1" applyAlignment="1">
      <alignment horizontal="left" wrapText="1"/>
    </xf>
    <xf numFmtId="167" fontId="11" fillId="0" borderId="0" xfId="23" applyNumberFormat="1" applyFont="1" applyFill="1" applyBorder="1" applyAlignment="1">
      <alignment horizontal="right"/>
    </xf>
    <xf numFmtId="167" fontId="11" fillId="0" borderId="0" xfId="23" applyNumberFormat="1" applyFont="1" applyFill="1" applyBorder="1" applyAlignment="1">
      <alignment horizontal="right" wrapText="1"/>
    </xf>
    <xf numFmtId="10" fontId="11" fillId="0" borderId="0" xfId="22" applyNumberFormat="1" applyFont="1"/>
    <xf numFmtId="0" fontId="11" fillId="0" borderId="0" xfId="17" applyFont="1" applyAlignment="1">
      <alignment vertical="center"/>
    </xf>
    <xf numFmtId="3" fontId="11" fillId="0" borderId="0" xfId="17" applyNumberFormat="1" applyFont="1" applyAlignment="1">
      <alignment vertical="center"/>
    </xf>
    <xf numFmtId="0" fontId="12" fillId="0" borderId="0" xfId="17" applyFont="1" applyAlignment="1">
      <alignment vertical="center"/>
    </xf>
    <xf numFmtId="0" fontId="27" fillId="0" borderId="0" xfId="14" applyFont="1"/>
    <xf numFmtId="166" fontId="21" fillId="0" borderId="0" xfId="14" applyNumberFormat="1" applyFont="1"/>
    <xf numFmtId="166" fontId="21" fillId="0" borderId="0" xfId="26" applyNumberFormat="1" applyFont="1" applyFill="1" applyBorder="1"/>
    <xf numFmtId="0" fontId="12" fillId="0" borderId="0" xfId="24" applyFont="1"/>
    <xf numFmtId="0" fontId="11" fillId="0" borderId="0" xfId="24"/>
    <xf numFmtId="0" fontId="12" fillId="0" borderId="0" xfId="24" applyFont="1" applyAlignment="1">
      <alignment horizontal="right"/>
    </xf>
    <xf numFmtId="0" fontId="21" fillId="0" borderId="0" xfId="30" applyFont="1"/>
    <xf numFmtId="9" fontId="11" fillId="0" borderId="0" xfId="5" applyFont="1"/>
    <xf numFmtId="9" fontId="12" fillId="0" borderId="0" xfId="5" applyFont="1"/>
    <xf numFmtId="166" fontId="26" fillId="0" borderId="8" xfId="26" applyNumberFormat="1" applyFont="1" applyFill="1" applyBorder="1"/>
    <xf numFmtId="166" fontId="11" fillId="0" borderId="0" xfId="26" applyNumberFormat="1" applyFont="1" applyBorder="1"/>
    <xf numFmtId="165" fontId="12" fillId="0" borderId="0" xfId="0" applyNumberFormat="1" applyFont="1"/>
    <xf numFmtId="165" fontId="11" fillId="0" borderId="0" xfId="0" applyNumberFormat="1" applyFont="1"/>
    <xf numFmtId="38" fontId="11" fillId="2" borderId="8" xfId="0" applyNumberFormat="1" applyFont="1" applyFill="1" applyBorder="1"/>
    <xf numFmtId="166" fontId="11" fillId="2" borderId="3" xfId="0" applyNumberFormat="1" applyFont="1" applyFill="1" applyBorder="1"/>
    <xf numFmtId="15" fontId="24" fillId="0" borderId="14" xfId="17" applyNumberFormat="1" applyFont="1" applyBorder="1"/>
    <xf numFmtId="0" fontId="12" fillId="0" borderId="15" xfId="17" applyFont="1" applyBorder="1"/>
    <xf numFmtId="0" fontId="12" fillId="0" borderId="15" xfId="17" applyFont="1" applyBorder="1" applyAlignment="1">
      <alignment horizontal="left" wrapText="1"/>
    </xf>
    <xf numFmtId="0" fontId="12" fillId="0" borderId="0" xfId="17" applyFont="1"/>
    <xf numFmtId="15" fontId="24" fillId="0" borderId="16" xfId="17" applyNumberFormat="1" applyFont="1" applyBorder="1"/>
    <xf numFmtId="0" fontId="22" fillId="0" borderId="0" xfId="17" applyFont="1"/>
    <xf numFmtId="169" fontId="12" fillId="0" borderId="0" xfId="17" applyNumberFormat="1" applyFont="1"/>
    <xf numFmtId="170" fontId="12" fillId="0" borderId="0" xfId="17" applyNumberFormat="1" applyFont="1"/>
    <xf numFmtId="0" fontId="12" fillId="0" borderId="0" xfId="17" applyFont="1" applyAlignment="1">
      <alignment horizontal="left" wrapText="1"/>
    </xf>
    <xf numFmtId="166" fontId="12" fillId="0" borderId="0" xfId="17" applyNumberFormat="1" applyFont="1" applyAlignment="1">
      <alignment horizontal="left" wrapText="1"/>
    </xf>
    <xf numFmtId="15" fontId="12" fillId="0" borderId="16" xfId="17" applyNumberFormat="1" applyFont="1" applyBorder="1"/>
    <xf numFmtId="0" fontId="12" fillId="0" borderId="0" xfId="17" applyFont="1" applyAlignment="1">
      <alignment horizontal="center" wrapText="1"/>
    </xf>
    <xf numFmtId="0" fontId="11" fillId="0" borderId="0" xfId="17" applyFont="1" applyAlignment="1">
      <alignment horizontal="center"/>
    </xf>
    <xf numFmtId="0" fontId="12" fillId="0" borderId="17" xfId="17" applyFont="1" applyBorder="1" applyAlignment="1">
      <alignment horizontal="center" vertical="center" wrapText="1"/>
    </xf>
    <xf numFmtId="0" fontId="12" fillId="0" borderId="0" xfId="17" applyFont="1" applyAlignment="1">
      <alignment horizontal="center" vertical="center"/>
    </xf>
    <xf numFmtId="0" fontId="11" fillId="0" borderId="0" xfId="17" applyFont="1"/>
    <xf numFmtId="167" fontId="11" fillId="5" borderId="0" xfId="5" applyNumberFormat="1" applyFont="1" applyFill="1" applyBorder="1" applyAlignment="1">
      <alignment horizontal="center" vertical="center"/>
    </xf>
    <xf numFmtId="0" fontId="12" fillId="0" borderId="0" xfId="17" applyFont="1" applyAlignment="1">
      <alignment horizontal="right" vertical="center"/>
    </xf>
    <xf numFmtId="166" fontId="12" fillId="0" borderId="0" xfId="26" applyNumberFormat="1" applyFont="1" applyFill="1" applyBorder="1" applyAlignment="1">
      <alignment horizontal="left" vertical="center" wrapText="1"/>
    </xf>
    <xf numFmtId="166" fontId="11" fillId="0" borderId="0" xfId="26" applyNumberFormat="1" applyFont="1" applyFill="1" applyBorder="1" applyAlignment="1">
      <alignment horizontal="left" vertical="center" wrapText="1"/>
    </xf>
    <xf numFmtId="0" fontId="24" fillId="0" borderId="0" xfId="17" applyFont="1" applyAlignment="1">
      <alignment vertical="center"/>
    </xf>
    <xf numFmtId="0" fontId="11" fillId="0" borderId="0" xfId="17" applyFont="1" applyAlignment="1">
      <alignment horizontal="right" vertical="center"/>
    </xf>
    <xf numFmtId="0" fontId="11" fillId="0" borderId="0" xfId="17" applyFont="1" applyAlignment="1">
      <alignment horizontal="left" wrapText="1"/>
    </xf>
    <xf numFmtId="0" fontId="11" fillId="0" borderId="0" xfId="17" applyFont="1" applyAlignment="1">
      <alignment horizontal="right"/>
    </xf>
    <xf numFmtId="166" fontId="11" fillId="0" borderId="0" xfId="26" applyNumberFormat="1" applyFont="1" applyFill="1" applyBorder="1" applyAlignment="1">
      <alignment horizontal="left" wrapText="1"/>
    </xf>
    <xf numFmtId="166" fontId="11" fillId="0" borderId="0" xfId="26" applyNumberFormat="1" applyFont="1" applyFill="1" applyAlignment="1">
      <alignment horizontal="left" wrapText="1"/>
    </xf>
    <xf numFmtId="172" fontId="0" fillId="0" borderId="0" xfId="5" applyNumberFormat="1" applyFont="1"/>
    <xf numFmtId="43" fontId="12" fillId="0" borderId="0" xfId="26" applyFont="1" applyAlignment="1">
      <alignment horizontal="right"/>
    </xf>
    <xf numFmtId="9" fontId="0" fillId="0" borderId="0" xfId="5" applyFont="1"/>
    <xf numFmtId="43" fontId="11" fillId="0" borderId="0" xfId="13" applyFont="1"/>
    <xf numFmtId="0" fontId="26" fillId="0" borderId="0" xfId="14" applyFont="1" applyAlignment="1">
      <alignment wrapText="1"/>
    </xf>
    <xf numFmtId="166" fontId="0" fillId="0" borderId="0" xfId="0" applyNumberFormat="1"/>
    <xf numFmtId="173" fontId="11" fillId="0" borderId="0" xfId="24" applyNumberFormat="1"/>
    <xf numFmtId="171" fontId="31" fillId="0" borderId="0" xfId="35" applyNumberFormat="1" applyFont="1"/>
    <xf numFmtId="174" fontId="21" fillId="0" borderId="0" xfId="26" applyNumberFormat="1" applyFont="1" applyFill="1" applyBorder="1"/>
    <xf numFmtId="174" fontId="21" fillId="0" borderId="0" xfId="13" applyNumberFormat="1" applyFont="1" applyFill="1" applyBorder="1"/>
    <xf numFmtId="43" fontId="11" fillId="0" borderId="0" xfId="0" applyNumberFormat="1" applyFont="1"/>
    <xf numFmtId="43" fontId="11" fillId="0" borderId="0" xfId="22" applyNumberFormat="1" applyFont="1"/>
    <xf numFmtId="9" fontId="11" fillId="0" borderId="0" xfId="5" applyFont="1" applyFill="1"/>
    <xf numFmtId="9" fontId="12" fillId="0" borderId="0" xfId="5" applyFont="1" applyFill="1"/>
    <xf numFmtId="166" fontId="11" fillId="0" borderId="0" xfId="26" applyNumberFormat="1" applyFont="1" applyFill="1"/>
    <xf numFmtId="166" fontId="11" fillId="0" borderId="0" xfId="24" applyNumberFormat="1"/>
    <xf numFmtId="0" fontId="25" fillId="0" borderId="0" xfId="0" applyFont="1"/>
    <xf numFmtId="43" fontId="11" fillId="0" borderId="0" xfId="13" applyFont="1" applyFill="1"/>
    <xf numFmtId="0" fontId="11" fillId="0" borderId="6" xfId="0" applyFont="1" applyBorder="1"/>
    <xf numFmtId="38" fontId="11" fillId="4" borderId="4" xfId="0" applyNumberFormat="1" applyFont="1" applyFill="1" applyBorder="1"/>
    <xf numFmtId="10" fontId="11" fillId="0" borderId="0" xfId="23" applyNumberFormat="1" applyFont="1" applyFill="1" applyBorder="1" applyAlignment="1">
      <alignment horizontal="right"/>
    </xf>
    <xf numFmtId="0" fontId="3" fillId="0" borderId="0" xfId="37"/>
    <xf numFmtId="0" fontId="34" fillId="2" borderId="0" xfId="0" applyFont="1" applyFill="1"/>
    <xf numFmtId="166" fontId="0" fillId="2" borderId="0" xfId="38" applyNumberFormat="1" applyFont="1" applyFill="1" applyBorder="1"/>
    <xf numFmtId="0" fontId="0" fillId="2" borderId="0" xfId="0" applyFill="1"/>
    <xf numFmtId="0" fontId="36" fillId="2" borderId="0" xfId="0" applyFont="1" applyFill="1"/>
    <xf numFmtId="0" fontId="21" fillId="2" borderId="0" xfId="0" applyFont="1" applyFill="1"/>
    <xf numFmtId="0" fontId="21" fillId="0" borderId="0" xfId="0" applyFont="1"/>
    <xf numFmtId="0" fontId="35" fillId="2" borderId="0" xfId="0" applyFont="1" applyFill="1"/>
    <xf numFmtId="166" fontId="21" fillId="2" borderId="0" xfId="38" applyNumberFormat="1" applyFont="1" applyFill="1" applyBorder="1"/>
    <xf numFmtId="166" fontId="21" fillId="2" borderId="0" xfId="38" applyNumberFormat="1" applyFont="1" applyFill="1"/>
    <xf numFmtId="0" fontId="3" fillId="0" borderId="4" xfId="37" applyBorder="1"/>
    <xf numFmtId="0" fontId="33" fillId="7" borderId="17" xfId="37" applyFont="1" applyFill="1" applyBorder="1" applyAlignment="1">
      <alignment horizontal="center"/>
    </xf>
    <xf numFmtId="0" fontId="33" fillId="0" borderId="17" xfId="37" applyFont="1" applyBorder="1" applyAlignment="1">
      <alignment horizontal="center"/>
    </xf>
    <xf numFmtId="0" fontId="3" fillId="0" borderId="5" xfId="37" applyBorder="1"/>
    <xf numFmtId="0" fontId="3" fillId="7" borderId="5" xfId="37" applyFill="1" applyBorder="1" applyAlignment="1">
      <alignment horizontal="left" vertical="top" wrapText="1"/>
    </xf>
    <xf numFmtId="0" fontId="3" fillId="0" borderId="5" xfId="37" applyBorder="1" applyAlignment="1">
      <alignment horizontal="left" vertical="top" wrapText="1"/>
    </xf>
    <xf numFmtId="0" fontId="3" fillId="0" borderId="0" xfId="37" applyAlignment="1">
      <alignment wrapText="1"/>
    </xf>
    <xf numFmtId="0" fontId="33" fillId="7" borderId="17" xfId="37" applyFont="1" applyFill="1" applyBorder="1" applyAlignment="1">
      <alignment horizontal="center" vertical="top" wrapText="1"/>
    </xf>
    <xf numFmtId="0" fontId="33" fillId="0" borderId="17" xfId="37" applyFont="1" applyBorder="1" applyAlignment="1">
      <alignment horizontal="center" vertical="top" wrapText="1"/>
    </xf>
    <xf numFmtId="0" fontId="33" fillId="0" borderId="4" xfId="37" applyFont="1" applyBorder="1" applyAlignment="1">
      <alignment horizontal="center" vertical="top" wrapText="1"/>
    </xf>
    <xf numFmtId="165" fontId="0" fillId="7" borderId="5" xfId="39" applyNumberFormat="1" applyFont="1" applyFill="1" applyBorder="1" applyAlignment="1">
      <alignment horizontal="center"/>
    </xf>
    <xf numFmtId="165" fontId="0" fillId="0" borderId="5" xfId="39" applyNumberFormat="1" applyFont="1" applyFill="1" applyBorder="1" applyAlignment="1">
      <alignment horizontal="center"/>
    </xf>
    <xf numFmtId="165" fontId="0" fillId="7" borderId="6" xfId="39" applyNumberFormat="1" applyFont="1" applyFill="1" applyBorder="1" applyAlignment="1">
      <alignment horizontal="center"/>
    </xf>
    <xf numFmtId="175" fontId="26" fillId="0" borderId="4" xfId="39" applyNumberFormat="1" applyFont="1" applyFill="1" applyBorder="1"/>
    <xf numFmtId="165" fontId="0" fillId="7" borderId="5" xfId="39" applyNumberFormat="1" applyFont="1" applyFill="1" applyBorder="1"/>
    <xf numFmtId="165" fontId="0" fillId="0" borderId="5" xfId="39" applyNumberFormat="1" applyFont="1" applyFill="1" applyBorder="1"/>
    <xf numFmtId="165" fontId="0" fillId="7" borderId="6" xfId="39" applyNumberFormat="1" applyFont="1" applyFill="1" applyBorder="1"/>
    <xf numFmtId="166" fontId="0" fillId="0" borderId="5" xfId="38" applyNumberFormat="1" applyFont="1" applyFill="1" applyBorder="1"/>
    <xf numFmtId="175" fontId="26" fillId="0" borderId="5" xfId="39" applyNumberFormat="1" applyFont="1" applyFill="1" applyBorder="1"/>
    <xf numFmtId="0" fontId="3" fillId="0" borderId="2" xfId="37" applyBorder="1"/>
    <xf numFmtId="0" fontId="3" fillId="7" borderId="2" xfId="37" applyFill="1" applyBorder="1"/>
    <xf numFmtId="0" fontId="3" fillId="7" borderId="1" xfId="37" applyFill="1" applyBorder="1"/>
    <xf numFmtId="0" fontId="12" fillId="0" borderId="14" xfId="0" applyFont="1" applyBorder="1"/>
    <xf numFmtId="0" fontId="0" fillId="0" borderId="15" xfId="0" applyBorder="1"/>
    <xf numFmtId="0" fontId="0" fillId="0" borderId="20" xfId="0" applyBorder="1"/>
    <xf numFmtId="0" fontId="29" fillId="0" borderId="21" xfId="0" applyFont="1" applyBorder="1"/>
    <xf numFmtId="0" fontId="30" fillId="0" borderId="22" xfId="29" applyBorder="1"/>
    <xf numFmtId="0" fontId="0" fillId="0" borderId="23" xfId="0" applyBorder="1"/>
    <xf numFmtId="0" fontId="11" fillId="0" borderId="23" xfId="0" applyFont="1" applyBorder="1"/>
    <xf numFmtId="0" fontId="30" fillId="0" borderId="23" xfId="29" applyBorder="1"/>
    <xf numFmtId="0" fontId="0" fillId="0" borderId="24" xfId="0" applyBorder="1"/>
    <xf numFmtId="0" fontId="0" fillId="0" borderId="25" xfId="0" applyBorder="1"/>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7" xfId="0" applyBorder="1"/>
    <xf numFmtId="166" fontId="0" fillId="0" borderId="17" xfId="26" applyNumberFormat="1" applyFont="1" applyBorder="1"/>
    <xf numFmtId="166" fontId="21" fillId="0" borderId="0" xfId="14" applyNumberFormat="1" applyFont="1" applyAlignment="1">
      <alignment horizontal="left"/>
    </xf>
    <xf numFmtId="166" fontId="12" fillId="0" borderId="26" xfId="0" applyNumberFormat="1" applyFont="1" applyBorder="1"/>
    <xf numFmtId="0" fontId="12" fillId="0" borderId="17" xfId="0" applyFont="1" applyBorder="1"/>
    <xf numFmtId="166" fontId="12" fillId="0" borderId="17" xfId="26" applyNumberFormat="1" applyFont="1" applyBorder="1"/>
    <xf numFmtId="43" fontId="11" fillId="0" borderId="0" xfId="26" applyFont="1" applyFill="1" applyBorder="1"/>
    <xf numFmtId="43" fontId="11" fillId="0" borderId="0" xfId="24" applyNumberFormat="1"/>
    <xf numFmtId="165" fontId="11" fillId="3" borderId="0" xfId="39" applyNumberFormat="1" applyFont="1" applyFill="1"/>
    <xf numFmtId="1" fontId="11" fillId="0" borderId="0" xfId="24" applyNumberFormat="1"/>
    <xf numFmtId="166" fontId="11" fillId="2" borderId="1" xfId="13" applyNumberFormat="1" applyFont="1" applyFill="1" applyBorder="1"/>
    <xf numFmtId="166" fontId="11" fillId="2" borderId="3" xfId="13" applyNumberFormat="1" applyFont="1" applyFill="1" applyBorder="1"/>
    <xf numFmtId="38" fontId="11" fillId="2" borderId="1" xfId="13" applyNumberFormat="1" applyFont="1" applyFill="1" applyBorder="1"/>
    <xf numFmtId="38" fontId="11" fillId="2" borderId="3" xfId="13" applyNumberFormat="1" applyFont="1" applyFill="1" applyBorder="1"/>
    <xf numFmtId="10" fontId="11" fillId="0" borderId="0" xfId="12" applyNumberFormat="1" applyFont="1" applyFill="1"/>
    <xf numFmtId="0" fontId="2" fillId="7" borderId="5" xfId="37" applyFont="1" applyFill="1" applyBorder="1" applyAlignment="1">
      <alignment horizontal="left" vertical="top" wrapText="1"/>
    </xf>
    <xf numFmtId="0" fontId="2" fillId="0" borderId="5" xfId="37" applyFont="1" applyBorder="1" applyAlignment="1">
      <alignment horizontal="left" vertical="top" wrapText="1"/>
    </xf>
    <xf numFmtId="0" fontId="37" fillId="2" borderId="0" xfId="37" applyFont="1" applyFill="1"/>
    <xf numFmtId="0" fontId="38" fillId="2" borderId="0" xfId="37" applyFont="1" applyFill="1"/>
    <xf numFmtId="0" fontId="38" fillId="0" borderId="0" xfId="37" applyFont="1"/>
    <xf numFmtId="0" fontId="1" fillId="2" borderId="0" xfId="37" applyFont="1" applyFill="1"/>
    <xf numFmtId="0" fontId="40" fillId="2" borderId="0" xfId="37" applyFont="1" applyFill="1"/>
    <xf numFmtId="0" fontId="39" fillId="2" borderId="0" xfId="37" applyFont="1" applyFill="1"/>
    <xf numFmtId="0" fontId="40" fillId="4" borderId="17" xfId="37" applyFont="1" applyFill="1" applyBorder="1"/>
    <xf numFmtId="0" fontId="39" fillId="2" borderId="17" xfId="37" applyFont="1" applyFill="1" applyBorder="1" applyAlignment="1">
      <alignment vertical="center"/>
    </xf>
    <xf numFmtId="0" fontId="39" fillId="2" borderId="17" xfId="37" applyFont="1" applyFill="1" applyBorder="1" applyAlignment="1">
      <alignment vertical="center" wrapText="1"/>
    </xf>
    <xf numFmtId="0" fontId="1" fillId="0" borderId="0" xfId="37" applyFont="1"/>
    <xf numFmtId="0" fontId="39" fillId="2" borderId="0" xfId="37" applyFont="1" applyFill="1" applyAlignment="1">
      <alignment horizontal="left" vertical="top" wrapText="1"/>
    </xf>
    <xf numFmtId="0" fontId="12" fillId="0" borderId="4" xfId="17" applyFont="1" applyBorder="1" applyAlignment="1">
      <alignment horizontal="center" vertical="center" wrapText="1"/>
    </xf>
    <xf numFmtId="0" fontId="11" fillId="0" borderId="2" xfId="17" applyFont="1" applyBorder="1" applyAlignment="1">
      <alignment horizontal="center"/>
    </xf>
    <xf numFmtId="0" fontId="12" fillId="0" borderId="2" xfId="17" applyFont="1" applyBorder="1" applyAlignment="1">
      <alignment horizontal="center" vertical="center" wrapText="1"/>
    </xf>
    <xf numFmtId="0" fontId="12" fillId="0" borderId="12" xfId="17" applyFont="1" applyBorder="1" applyAlignment="1">
      <alignment horizontal="center" vertical="center"/>
    </xf>
    <xf numFmtId="0" fontId="12" fillId="0" borderId="13" xfId="17" applyFont="1" applyBorder="1" applyAlignment="1">
      <alignment horizontal="center" vertical="center"/>
    </xf>
    <xf numFmtId="0" fontId="12" fillId="0" borderId="18" xfId="17" applyFont="1" applyBorder="1" applyAlignment="1">
      <alignment horizontal="center" vertical="center"/>
    </xf>
    <xf numFmtId="0" fontId="12" fillId="0" borderId="0" xfId="17" applyFont="1" applyAlignment="1">
      <alignment horizontal="center" wrapText="1"/>
    </xf>
    <xf numFmtId="0" fontId="12" fillId="0" borderId="12" xfId="17" applyFont="1" applyBorder="1" applyAlignment="1">
      <alignment horizontal="center" vertical="center" wrapText="1"/>
    </xf>
    <xf numFmtId="0" fontId="12" fillId="0" borderId="13" xfId="17" applyFont="1" applyBorder="1" applyAlignment="1">
      <alignment horizontal="center" vertical="center" wrapText="1"/>
    </xf>
    <xf numFmtId="0" fontId="12" fillId="0" borderId="18" xfId="17" applyFont="1" applyBorder="1" applyAlignment="1">
      <alignment horizontal="center" vertical="center" wrapText="1"/>
    </xf>
  </cellXfs>
  <cellStyles count="40">
    <cellStyle name="Comma" xfId="13" builtinId="3"/>
    <cellStyle name="Comma 10" xfId="21" xr:uid="{0DFED1BC-1CBA-4E56-912F-30FE45790B8D}"/>
    <cellStyle name="Comma 2" xfId="4" xr:uid="{00000000-0005-0000-0000-000001000000}"/>
    <cellStyle name="Comma 2 2" xfId="26" xr:uid="{D89BC12F-9AEB-458F-AA43-F08CE69CA111}"/>
    <cellStyle name="Comma 2 3" xfId="34" xr:uid="{25018D5C-7B6D-4736-8639-A84976470872}"/>
    <cellStyle name="Comma 3" xfId="8" xr:uid="{00000000-0005-0000-0000-000002000000}"/>
    <cellStyle name="Comma 4" xfId="15" xr:uid="{00000000-0005-0000-0000-000003000000}"/>
    <cellStyle name="Comma 5" xfId="19" xr:uid="{99E82097-32D1-4B26-9376-13A71C5A69B1}"/>
    <cellStyle name="Comma 6" xfId="25" xr:uid="{522CA0CD-1AE7-40C2-8641-2633906B4BE8}"/>
    <cellStyle name="Comma 7" xfId="32" xr:uid="{288DDC25-F3D3-4274-8449-845DA4C856B2}"/>
    <cellStyle name="Comma 7 2" xfId="38" xr:uid="{A3F15CEF-68F9-4522-9D13-71008CA48151}"/>
    <cellStyle name="Currency" xfId="6" builtinId="4"/>
    <cellStyle name="Currency 14" xfId="18" xr:uid="{6974594C-6501-47C9-8C01-67044C6B2C1E}"/>
    <cellStyle name="Currency 2" xfId="11" xr:uid="{00000000-0005-0000-0000-000005000000}"/>
    <cellStyle name="Currency 3" xfId="39" xr:uid="{D8CD4D77-F837-473A-B12A-14B4C9BB2C18}"/>
    <cellStyle name="Hyperlink" xfId="29" builtinId="8"/>
    <cellStyle name="Normal" xfId="0" builtinId="0"/>
    <cellStyle name="Normal 12" xfId="24" xr:uid="{74D31083-8429-41E8-A226-055FD4F30306}"/>
    <cellStyle name="Normal 2" xfId="1" xr:uid="{00000000-0005-0000-0000-000008000000}"/>
    <cellStyle name="Normal 2 2" xfId="33" xr:uid="{89FC13D3-07C6-458A-A173-D227E4D1B31C}"/>
    <cellStyle name="Normal 3" xfId="2" xr:uid="{00000000-0005-0000-0000-000009000000}"/>
    <cellStyle name="Normal 34" xfId="17" xr:uid="{1066EC41-1093-4327-86E4-367285BE19D6}"/>
    <cellStyle name="Normal 4" xfId="7" xr:uid="{00000000-0005-0000-0000-00000A000000}"/>
    <cellStyle name="Normal 5" xfId="14" xr:uid="{00000000-0005-0000-0000-00000B000000}"/>
    <cellStyle name="Normal 5 2" xfId="30" xr:uid="{5F837975-DE96-4D1A-8A1E-AB120F27FD79}"/>
    <cellStyle name="Normal 6" xfId="22" xr:uid="{035DD72E-61B2-41C8-AFA1-3AF12EF5815E}"/>
    <cellStyle name="Normal 7" xfId="28" xr:uid="{0B9342A7-A27A-48FF-A87B-6BAC4960B95C}"/>
    <cellStyle name="Normal 8" xfId="31" xr:uid="{20894E9F-C614-405A-90C9-EA63E3C58382}"/>
    <cellStyle name="Normal 8 2" xfId="37" xr:uid="{8D9D7280-8BF2-425D-BCDC-7B243B9A1747}"/>
    <cellStyle name="Percent" xfId="12" builtinId="5"/>
    <cellStyle name="Percent 10" xfId="20" xr:uid="{E1BD0969-5D75-42B8-9356-6BCF1F18648C}"/>
    <cellStyle name="Percent 2" xfId="3" xr:uid="{00000000-0005-0000-0000-00000D000000}"/>
    <cellStyle name="Percent 2 2" xfId="35" xr:uid="{B69F7E5C-315F-4453-8E47-E92DC5C1CEB2}"/>
    <cellStyle name="Percent 3" xfId="5" xr:uid="{00000000-0005-0000-0000-00000E000000}"/>
    <cellStyle name="Percent 4" xfId="9" xr:uid="{00000000-0005-0000-0000-00000F000000}"/>
    <cellStyle name="Percent 5" xfId="16" xr:uid="{00000000-0005-0000-0000-000010000000}"/>
    <cellStyle name="Percent 6" xfId="23" xr:uid="{A5AD3EC1-6713-4826-9D45-325189985092}"/>
    <cellStyle name="Percent 7" xfId="27" xr:uid="{BA36C223-E93F-4501-8ADC-66B50A11FEC6}"/>
    <cellStyle name="Percent 8" xfId="36" xr:uid="{8064BF57-DC0B-4239-948F-40FC6D48FEEE}"/>
    <cellStyle name="R00L" xfId="10" xr:uid="{00000000-0005-0000-0000-000011000000}"/>
  </cellStyles>
  <dxfs count="0"/>
  <tableStyles count="0" defaultTableStyle="TableStyleMedium9" defaultPivotStyle="PivotStyleLight16"/>
  <colors>
    <mruColors>
      <color rgb="FFFF66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84" Type="http://schemas.openxmlformats.org/officeDocument/2006/relationships/calcChain" Target="calcChain.xml"/><Relationship Id="rId16" Type="http://schemas.openxmlformats.org/officeDocument/2006/relationships/externalLink" Target="externalLinks/externalLink1.xml"/><Relationship Id="rId11" Type="http://schemas.openxmlformats.org/officeDocument/2006/relationships/worksheet" Target="worksheets/sheet11.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74" Type="http://schemas.openxmlformats.org/officeDocument/2006/relationships/externalLink" Target="externalLinks/externalLink59.xml"/><Relationship Id="rId79" Type="http://schemas.openxmlformats.org/officeDocument/2006/relationships/externalLink" Target="externalLinks/externalLink64.xml"/><Relationship Id="rId5" Type="http://schemas.openxmlformats.org/officeDocument/2006/relationships/worksheet" Target="worksheets/sheet5.xml"/><Relationship Id="rId19" Type="http://schemas.openxmlformats.org/officeDocument/2006/relationships/externalLink" Target="externalLinks/externalLink4.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77" Type="http://schemas.openxmlformats.org/officeDocument/2006/relationships/externalLink" Target="externalLinks/externalLink62.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80" Type="http://schemas.openxmlformats.org/officeDocument/2006/relationships/theme" Target="theme/theme1.xml"/><Relationship Id="rId85"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externalLink" Target="externalLinks/externalLink55.xml"/><Relationship Id="rId75" Type="http://schemas.openxmlformats.org/officeDocument/2006/relationships/externalLink" Target="externalLinks/externalLink60.xml"/><Relationship Id="rId83"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externalLink" Target="externalLinks/externalLink58.xml"/><Relationship Id="rId78" Type="http://schemas.openxmlformats.org/officeDocument/2006/relationships/externalLink" Target="externalLinks/externalLink63.xml"/><Relationship Id="rId81" Type="http://schemas.openxmlformats.org/officeDocument/2006/relationships/styles" Target="styles.xml"/><Relationship Id="rId86"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76" Type="http://schemas.openxmlformats.org/officeDocument/2006/relationships/externalLink" Target="externalLinks/externalLink61.xml"/><Relationship Id="rId7" Type="http://schemas.openxmlformats.org/officeDocument/2006/relationships/worksheet" Target="worksheets/sheet7.xml"/><Relationship Id="rId71" Type="http://schemas.openxmlformats.org/officeDocument/2006/relationships/externalLink" Target="externalLinks/externalLink56.xml"/><Relationship Id="rId2" Type="http://schemas.openxmlformats.org/officeDocument/2006/relationships/worksheet" Target="worksheets/sheet2.xml"/><Relationship Id="rId29" Type="http://schemas.openxmlformats.org/officeDocument/2006/relationships/externalLink" Target="externalLinks/externalLink14.xml"/><Relationship Id="rId24" Type="http://schemas.openxmlformats.org/officeDocument/2006/relationships/externalLink" Target="externalLinks/externalLink9.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66" Type="http://schemas.openxmlformats.org/officeDocument/2006/relationships/externalLink" Target="externalLinks/externalLink51.xml"/><Relationship Id="rId87" Type="http://schemas.openxmlformats.org/officeDocument/2006/relationships/customXml" Target="../customXml/item3.xml"/><Relationship Id="rId61" Type="http://schemas.openxmlformats.org/officeDocument/2006/relationships/externalLink" Target="externalLinks/externalLink46.xml"/><Relationship Id="rId8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'Tab 2 - Citywide'!$L$33</c:f>
              <c:strCache>
                <c:ptCount val="1"/>
                <c:pt idx="0">
                  <c:v>Total Stormwater Surplus / (Shortfall)</c:v>
                </c:pt>
              </c:strCache>
            </c:strRef>
          </c:tx>
          <c:spPr>
            <a:ln w="28575" cap="rnd">
              <a:solidFill>
                <a:schemeClr val="accent2">
                  <a:lumMod val="50000"/>
                </a:schemeClr>
              </a:solidFill>
              <a:round/>
            </a:ln>
            <a:effectLst/>
          </c:spPr>
          <c:marker>
            <c:symbol val="circle"/>
            <c:size val="5"/>
            <c:spPr>
              <a:solidFill>
                <a:srgbClr val="C00000"/>
              </a:solidFill>
              <a:ln w="9525">
                <a:solidFill>
                  <a:schemeClr val="accent2">
                    <a:lumMod val="50000"/>
                  </a:schemeClr>
                </a:solidFill>
              </a:ln>
              <a:effectLst/>
            </c:spPr>
          </c:marker>
          <c:cat>
            <c:strRef>
              <c:f>'Tab 2 - Citywide'!$O$26:$AN$26</c:f>
              <c:strCache>
                <c:ptCount val="26"/>
                <c:pt idx="0">
                  <c:v>2016A-2023 Surplus / (Shortfall)</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strCache>
            </c:strRef>
          </c:cat>
          <c:val>
            <c:numRef>
              <c:f>'Tab 2 - Citywide'!$O$33:$AN$33</c:f>
              <c:numCache>
                <c:formatCode>#,##0_);[Red]\(#,##0\)</c:formatCode>
                <c:ptCount val="26"/>
                <c:pt idx="0">
                  <c:v>32541.351311922775</c:v>
                </c:pt>
                <c:pt idx="1">
                  <c:v>31761.947957012067</c:v>
                </c:pt>
                <c:pt idx="2">
                  <c:v>27953.869965578822</c:v>
                </c:pt>
                <c:pt idx="3">
                  <c:v>23939.74678309977</c:v>
                </c:pt>
                <c:pt idx="4">
                  <c:v>21556.503766445523</c:v>
                </c:pt>
                <c:pt idx="5">
                  <c:v>19367.603748635243</c:v>
                </c:pt>
                <c:pt idx="6">
                  <c:v>17409.129033059166</c:v>
                </c:pt>
                <c:pt idx="7">
                  <c:v>15660.327578806895</c:v>
                </c:pt>
                <c:pt idx="8">
                  <c:v>14126.503087222156</c:v>
                </c:pt>
                <c:pt idx="9">
                  <c:v>12813.070235198205</c:v>
                </c:pt>
                <c:pt idx="10">
                  <c:v>11725.556158527992</c:v>
                </c:pt>
                <c:pt idx="11">
                  <c:v>10869.6013278599</c:v>
                </c:pt>
                <c:pt idx="12">
                  <c:v>10386.471188697205</c:v>
                </c:pt>
                <c:pt idx="13">
                  <c:v>10183.932217417132</c:v>
                </c:pt>
                <c:pt idx="14">
                  <c:v>10694.421021639151</c:v>
                </c:pt>
                <c:pt idx="15">
                  <c:v>12533.645854675793</c:v>
                </c:pt>
                <c:pt idx="16">
                  <c:v>14866.976081328723</c:v>
                </c:pt>
                <c:pt idx="17">
                  <c:v>13085.018046895837</c:v>
                </c:pt>
                <c:pt idx="18">
                  <c:v>8087.54311805613</c:v>
                </c:pt>
                <c:pt idx="19">
                  <c:v>3685.1893198221023</c:v>
                </c:pt>
                <c:pt idx="20">
                  <c:v>-558.59384841192514</c:v>
                </c:pt>
                <c:pt idx="21">
                  <c:v>-4681.5911666459524</c:v>
                </c:pt>
                <c:pt idx="22">
                  <c:v>-8778.1450748799798</c:v>
                </c:pt>
                <c:pt idx="23">
                  <c:v>-12695.391413114008</c:v>
                </c:pt>
                <c:pt idx="24">
                  <c:v>-16018.176981348035</c:v>
                </c:pt>
                <c:pt idx="25">
                  <c:v>-17082.122505465049</c:v>
                </c:pt>
              </c:numCache>
            </c:numRef>
          </c:val>
          <c:smooth val="0"/>
          <c:extLst>
            <c:ext xmlns:c16="http://schemas.microsoft.com/office/drawing/2014/chart" uri="{C3380CC4-5D6E-409C-BE32-E72D297353CC}">
              <c16:uniqueId val="{00000000-E580-4B3C-B8F8-34EF033BC239}"/>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capacity15!$L$33</c:f>
              <c:strCache>
                <c:ptCount val="1"/>
                <c:pt idx="0">
                  <c:v>Total Linear Shortfall</c:v>
                </c:pt>
              </c:strCache>
            </c:strRef>
          </c:tx>
          <c:spPr>
            <a:ln w="28575" cap="rnd">
              <a:solidFill>
                <a:schemeClr val="accent2">
                  <a:lumMod val="50000"/>
                </a:schemeClr>
              </a:solidFill>
              <a:round/>
            </a:ln>
            <a:effectLst/>
          </c:spPr>
          <c:marker>
            <c:symbol val="circle"/>
            <c:size val="5"/>
            <c:spPr>
              <a:solidFill>
                <a:srgbClr val="C00000"/>
              </a:solidFill>
              <a:ln w="9525">
                <a:solidFill>
                  <a:schemeClr val="accent2">
                    <a:lumMod val="50000"/>
                  </a:schemeClr>
                </a:solidFill>
              </a:ln>
              <a:effectLst/>
            </c:spPr>
          </c:marker>
          <c:cat>
            <c:strRef>
              <c:f>capacity15!$O$26:$AT$26</c:f>
              <c:strCache>
                <c:ptCount val="27"/>
                <c:pt idx="0">
                  <c:v>2016A-2021A Shortfall</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strCache>
            </c:strRef>
          </c:cat>
          <c:val>
            <c:numRef>
              <c:f>capacity15!$O$33:$AT$33</c:f>
              <c:numCache>
                <c:formatCode>#,##0_);[Red]\(#,##0\)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0-2542-4363-941D-30F7A8DCF851}"/>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capacity25!$L$33</c:f>
              <c:strCache>
                <c:ptCount val="1"/>
                <c:pt idx="0">
                  <c:v>Total Linear Shortfall</c:v>
                </c:pt>
              </c:strCache>
            </c:strRef>
          </c:tx>
          <c:spPr>
            <a:ln w="28575" cap="rnd">
              <a:solidFill>
                <a:schemeClr val="accent2">
                  <a:lumMod val="50000"/>
                </a:schemeClr>
              </a:solidFill>
              <a:round/>
            </a:ln>
            <a:effectLst/>
          </c:spPr>
          <c:marker>
            <c:symbol val="circle"/>
            <c:size val="5"/>
            <c:spPr>
              <a:solidFill>
                <a:srgbClr val="C00000"/>
              </a:solidFill>
              <a:ln w="9525">
                <a:solidFill>
                  <a:schemeClr val="accent2">
                    <a:lumMod val="50000"/>
                  </a:schemeClr>
                </a:solidFill>
              </a:ln>
              <a:effectLst/>
            </c:spPr>
          </c:marker>
          <c:cat>
            <c:strRef>
              <c:f>capacity25!$O$26:$AT$26</c:f>
              <c:strCache>
                <c:ptCount val="32"/>
                <c:pt idx="0">
                  <c:v>2016A-2021A Shortfall</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strCache>
            </c:strRef>
          </c:cat>
          <c:val>
            <c:numRef>
              <c:f>capacity25!$O$33:$AT$33</c:f>
              <c:numCache>
                <c:formatCode>#,##0_);[Red]\(#,##0\)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c:ext xmlns:c16="http://schemas.microsoft.com/office/drawing/2014/chart" uri="{C3380CC4-5D6E-409C-BE32-E72D297353CC}">
              <c16:uniqueId val="{00000000-BC48-4673-90EC-124EFC2CDEB5}"/>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Linear Cumulative Surplus/(Shortfall)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1"/>
          <c:order val="0"/>
          <c:tx>
            <c:strRef>
              <c:f>'Tab 3 - Catchment'!$L$55</c:f>
              <c:strCache>
                <c:ptCount val="1"/>
                <c:pt idx="0">
                  <c:v>Total Stormwater Surplus / (Shortfall)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'Tab 3 - Catchment'!$O$48:$AQ$48</c:f>
              <c:strCache>
                <c:ptCount val="29"/>
                <c:pt idx="0">
                  <c:v>2016A-2023 Surplus / (Shortfall)</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strCache>
            </c:strRef>
          </c:cat>
          <c:val>
            <c:numRef>
              <c:f>'Tab 3 - Catchment'!$O$55:$AQ$55</c:f>
              <c:numCache>
                <c:formatCode>#,##0_);[Red]\(#,##0\)</c:formatCode>
                <c:ptCount val="29"/>
                <c:pt idx="0">
                  <c:v>32541.351311922775</c:v>
                </c:pt>
                <c:pt idx="1">
                  <c:v>31761.947957012067</c:v>
                </c:pt>
                <c:pt idx="2">
                  <c:v>27225.264628823948</c:v>
                </c:pt>
                <c:pt idx="3">
                  <c:v>21791.82574337504</c:v>
                </c:pt>
                <c:pt idx="4">
                  <c:v>17916.184775560556</c:v>
                </c:pt>
                <c:pt idx="5">
                  <c:v>14194.389033752264</c:v>
                </c:pt>
                <c:pt idx="6">
                  <c:v>12035.785354904536</c:v>
                </c:pt>
                <c:pt idx="7">
                  <c:v>11257.527017588809</c:v>
                </c:pt>
                <c:pt idx="8">
                  <c:v>10721.004850018315</c:v>
                </c:pt>
                <c:pt idx="9">
                  <c:v>10432.305601432678</c:v>
                </c:pt>
                <c:pt idx="10">
                  <c:v>10397.642304681065</c:v>
                </c:pt>
                <c:pt idx="11">
                  <c:v>10623.355280672336</c:v>
                </c:pt>
                <c:pt idx="12">
                  <c:v>11251.423898350835</c:v>
                </c:pt>
                <c:pt idx="13">
                  <c:v>12190.342741399072</c:v>
                </c:pt>
                <c:pt idx="14">
                  <c:v>13873.290809177875</c:v>
                </c:pt>
                <c:pt idx="15">
                  <c:v>16916.733120771387</c:v>
                </c:pt>
                <c:pt idx="16">
                  <c:v>20415.958415306552</c:v>
                </c:pt>
                <c:pt idx="17">
                  <c:v>19149.507629841213</c:v>
                </c:pt>
                <c:pt idx="18">
                  <c:v>14152.032701001506</c:v>
                </c:pt>
                <c:pt idx="19">
                  <c:v>9749.6789027674786</c:v>
                </c:pt>
                <c:pt idx="20">
                  <c:v>5505.8957345334511</c:v>
                </c:pt>
                <c:pt idx="21">
                  <c:v>1382.8984162994238</c:v>
                </c:pt>
                <c:pt idx="22">
                  <c:v>-2713.6554919346036</c:v>
                </c:pt>
                <c:pt idx="23">
                  <c:v>-6630.901830168631</c:v>
                </c:pt>
                <c:pt idx="24">
                  <c:v>-9953.6873984026588</c:v>
                </c:pt>
                <c:pt idx="25">
                  <c:v>-11017.632922519673</c:v>
                </c:pt>
                <c:pt idx="26">
                  <c:v>-11017.632922519673</c:v>
                </c:pt>
                <c:pt idx="27">
                  <c:v>-11017.632922519673</c:v>
                </c:pt>
                <c:pt idx="28">
                  <c:v>-11017.632922519673</c:v>
                </c:pt>
              </c:numCache>
            </c:numRef>
          </c:val>
          <c:smooth val="0"/>
          <c:extLst>
            <c:ext xmlns:c16="http://schemas.microsoft.com/office/drawing/2014/chart" uri="{C3380CC4-5D6E-409C-BE32-E72D297353CC}">
              <c16:uniqueId val="{00000009-C4A6-4FF5-B9EE-569489D7FD0E}"/>
            </c:ext>
          </c:extLst>
        </c:ser>
        <c:dLbls>
          <c:showLegendKey val="0"/>
          <c:showVal val="0"/>
          <c:showCatName val="0"/>
          <c:showSerName val="0"/>
          <c:showPercent val="0"/>
          <c:showBubbleSize val="0"/>
        </c:dLbls>
        <c:marker val="1"/>
        <c:smooth val="0"/>
        <c:axId val="657000016"/>
        <c:axId val="657001000"/>
      </c:lineChart>
      <c:catAx>
        <c:axId val="65700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1000"/>
        <c:crosses val="autoZero"/>
        <c:auto val="1"/>
        <c:lblAlgn val="ctr"/>
        <c:lblOffset val="100"/>
        <c:noMultiLvlLbl val="0"/>
      </c:catAx>
      <c:valAx>
        <c:axId val="6570010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00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40820</xdr:colOff>
      <xdr:row>38</xdr:row>
      <xdr:rowOff>56015</xdr:rowOff>
    </xdr:from>
    <xdr:to>
      <xdr:col>38</xdr:col>
      <xdr:colOff>802820</xdr:colOff>
      <xdr:row>56</xdr:row>
      <xdr:rowOff>122465</xdr:rowOff>
    </xdr:to>
    <xdr:graphicFrame macro="">
      <xdr:nvGraphicFramePr>
        <xdr:cNvPr id="2" name="Chart 1">
          <a:extLst>
            <a:ext uri="{FF2B5EF4-FFF2-40B4-BE49-F238E27FC236}">
              <a16:creationId xmlns:a16="http://schemas.microsoft.com/office/drawing/2014/main" id="{B52B28BA-41FE-408A-8478-8D2A2D721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208644</xdr:colOff>
      <xdr:row>16</xdr:row>
      <xdr:rowOff>27215</xdr:rowOff>
    </xdr:from>
    <xdr:to>
      <xdr:col>9</xdr:col>
      <xdr:colOff>348683</xdr:colOff>
      <xdr:row>50</xdr:row>
      <xdr:rowOff>28578</xdr:rowOff>
    </xdr:to>
    <xdr:sp macro="" textlink="">
      <xdr:nvSpPr>
        <xdr:cNvPr id="3" name="TextBox 2">
          <a:extLst>
            <a:ext uri="{FF2B5EF4-FFF2-40B4-BE49-F238E27FC236}">
              <a16:creationId xmlns:a16="http://schemas.microsoft.com/office/drawing/2014/main" id="{3FC72D41-42B8-4F7E-96BA-7C39C75B6FD2}"/>
            </a:ext>
          </a:extLst>
        </xdr:cNvPr>
        <xdr:cNvSpPr txBox="1"/>
      </xdr:nvSpPr>
      <xdr:spPr>
        <a:xfrm>
          <a:off x="208644" y="2848429"/>
          <a:ext cx="6390253" cy="5716363"/>
        </a:xfrm>
        <a:prstGeom prst="rect">
          <a:avLst/>
        </a:prstGeom>
        <a:ln>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600" b="1" u="sng"/>
            <a:t>Key considerations for this model:</a:t>
          </a:r>
        </a:p>
        <a:p>
          <a:endParaRPr lang="en-US" sz="1100"/>
        </a:p>
        <a:p>
          <a:r>
            <a:rPr lang="en-US" sz="1100"/>
            <a:t>1)</a:t>
          </a:r>
          <a:r>
            <a:rPr lang="en-US" sz="1100" baseline="0"/>
            <a:t> The rate will not need to change based on development pace (more stability over the long term)</a:t>
          </a:r>
        </a:p>
        <a:p>
          <a:endParaRPr lang="en-US" sz="1100" baseline="0"/>
        </a:p>
        <a:p>
          <a:r>
            <a:rPr lang="en-US" sz="1100" baseline="0"/>
            <a:t>2) The rate will be influenced by a) actual land absorption and any additional approved New Community business cases (the denominator can go up or down); b) updated actuals and estimates for projects (the numerator can go up or down).</a:t>
          </a:r>
        </a:p>
        <a:p>
          <a:endParaRPr lang="en-US" sz="1100" baseline="0"/>
        </a:p>
        <a:p>
          <a:r>
            <a:rPr lang="en-US" sz="1100" baseline="0"/>
            <a:t>3) The goal of the model is to have a Net Present Value (NPV) of 0 (zero) when the last portion of debt for the last project included in the calculation is paid off. This means, there will be fluctuations in the form of levy revenue shortfalls and balances due to cash flow but this will not be an impact to the rate.</a:t>
          </a:r>
        </a:p>
        <a:p>
          <a:endParaRPr lang="en-US" sz="1100" baseline="0"/>
        </a:p>
        <a:p>
          <a:r>
            <a:rPr lang="en-US" sz="1100" baseline="0"/>
            <a:t>4) Capacity could be used up before the debt term is done. This means that the revenue will be collected ahead of the final Principle and &amp; Interest payment. </a:t>
          </a:r>
        </a:p>
        <a:p>
          <a:endParaRPr lang="en-US" sz="1100" baseline="0"/>
        </a:p>
        <a:p>
          <a:r>
            <a:rPr lang="en-US" sz="1100" baseline="0"/>
            <a:t>5) Investment income will be applied to the calculation as it is earned. For example, earned investment income today has been used to off-set the current shortfall, reducing the impact of the shortfall to the levy rate setting.</a:t>
          </a:r>
        </a:p>
        <a:p>
          <a:endParaRPr lang="en-US" sz="1100" baseline="0"/>
        </a:p>
        <a:p>
          <a:r>
            <a:rPr lang="en-US" sz="1100" baseline="0"/>
            <a:t>6) Project estimates and actuals will be updated again following 2023 year-end project update to reflect the most up to date estimates (numerator).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 </a:t>
          </a:r>
          <a:r>
            <a:rPr lang="en-US" sz="1100" baseline="0">
              <a:solidFill>
                <a:schemeClr val="dk1"/>
              </a:solidFill>
              <a:effectLst/>
              <a:latin typeface="+mn-lt"/>
              <a:ea typeface="+mn-ea"/>
              <a:cs typeface="+mn-cs"/>
            </a:rPr>
            <a:t>True up of estimates to actuals for OSL projects are aligned with any rate updates. </a:t>
          </a:r>
          <a:endParaRPr lang="en-US">
            <a:effectLst/>
          </a:endParaRPr>
        </a:p>
        <a:p>
          <a:endParaRPr lang="en-US" sz="1100" baseline="0"/>
        </a:p>
        <a:p>
          <a:r>
            <a:rPr lang="en-US" sz="1100" baseline="0"/>
            <a:t>8) Leviable land must also be updated to reflect the correct current available capacity which would pay for this infrastructure (denominator)</a:t>
          </a:r>
        </a:p>
        <a:p>
          <a:endParaRPr lang="en-US" sz="1100" baseline="0"/>
        </a:p>
        <a:p>
          <a:r>
            <a:rPr lang="en-US" sz="1100" baseline="0"/>
            <a:t>9) 15 year debt term is used instead of 25 year debt term to reduce financing cost and be more consistent with community full built out time.</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592137</xdr:colOff>
      <xdr:row>37</xdr:row>
      <xdr:rowOff>1587</xdr:rowOff>
    </xdr:from>
    <xdr:to>
      <xdr:col>33</xdr:col>
      <xdr:colOff>325438</xdr:colOff>
      <xdr:row>54</xdr:row>
      <xdr:rowOff>26987</xdr:rowOff>
    </xdr:to>
    <xdr:graphicFrame macro="">
      <xdr:nvGraphicFramePr>
        <xdr:cNvPr id="2" name="Chart 1">
          <a:extLst>
            <a:ext uri="{FF2B5EF4-FFF2-40B4-BE49-F238E27FC236}">
              <a16:creationId xmlns:a16="http://schemas.microsoft.com/office/drawing/2014/main" id="{D6EA8C6E-024C-4343-855A-00DAABDB3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535781</xdr:colOff>
      <xdr:row>25</xdr:row>
      <xdr:rowOff>28573</xdr:rowOff>
    </xdr:from>
    <xdr:to>
      <xdr:col>9</xdr:col>
      <xdr:colOff>647699</xdr:colOff>
      <xdr:row>62</xdr:row>
      <xdr:rowOff>54429</xdr:rowOff>
    </xdr:to>
    <xdr:sp macro="" textlink="">
      <xdr:nvSpPr>
        <xdr:cNvPr id="3" name="TextBox 2">
          <a:extLst>
            <a:ext uri="{FF2B5EF4-FFF2-40B4-BE49-F238E27FC236}">
              <a16:creationId xmlns:a16="http://schemas.microsoft.com/office/drawing/2014/main" id="{77B2AB2A-515B-404E-B391-6F04A6CA2179}"/>
            </a:ext>
          </a:extLst>
        </xdr:cNvPr>
        <xdr:cNvSpPr txBox="1"/>
      </xdr:nvSpPr>
      <xdr:spPr>
        <a:xfrm>
          <a:off x="535781" y="4382859"/>
          <a:ext cx="6330382" cy="6257927"/>
        </a:xfrm>
        <a:prstGeom prst="rect">
          <a:avLst/>
        </a:prstGeom>
        <a:ln>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600" b="1" u="sng"/>
            <a:t>Key considerations for this model:</a:t>
          </a:r>
        </a:p>
        <a:p>
          <a:endParaRPr lang="en-US" sz="1100"/>
        </a:p>
        <a:p>
          <a:r>
            <a:rPr lang="en-US" sz="1100"/>
            <a:t>1)</a:t>
          </a:r>
          <a:r>
            <a:rPr lang="en-US" sz="1100" baseline="0"/>
            <a:t> The rate will not need to change based on development pace (more stability over the long term)</a:t>
          </a:r>
        </a:p>
        <a:p>
          <a:endParaRPr lang="en-US" sz="1100" baseline="0"/>
        </a:p>
        <a:p>
          <a:r>
            <a:rPr lang="en-US" sz="1100" baseline="0"/>
            <a:t>2) The rate updates that occur every 2 years will be influenced by a) approved New Community business cases (rate can go up or down), b) updated actuals and estimates for projects (rate can go up or down).</a:t>
          </a:r>
        </a:p>
        <a:p>
          <a:endParaRPr lang="en-US" sz="1100" baseline="0"/>
        </a:p>
        <a:p>
          <a:r>
            <a:rPr lang="en-US" sz="1100" baseline="0"/>
            <a:t>3) The goal of the model is to have a Net Present Value (NPV) of 0 (zero) when the last portion of debt for the last project included in the calculation is paid off (in 25 years). This means, there will be fluctuations in the form of levy shortfalls and balances due to cash flow but this will not be an impact to the rate.</a:t>
          </a:r>
        </a:p>
        <a:p>
          <a:endParaRPr lang="en-US" sz="1100" baseline="0"/>
        </a:p>
        <a:p>
          <a:r>
            <a:rPr lang="en-US" sz="1100" baseline="0"/>
            <a:t>4) Capacity could be used up before the debt term is done. This means that the revenue will be collected ahead of the final Principle and &amp; Interest payment. </a:t>
          </a:r>
        </a:p>
        <a:p>
          <a:endParaRPr lang="en-US" sz="1100" baseline="0"/>
        </a:p>
        <a:p>
          <a:r>
            <a:rPr lang="en-US" sz="1100" baseline="0"/>
            <a:t>5) Investment income will be applied to the calcualtion as it is earned. For example, earned investment income today has been used to off-set the current shortfall, reducing the impact of the shortfall to the levy rate setting.</a:t>
          </a:r>
        </a:p>
        <a:p>
          <a:endParaRPr lang="en-US" sz="1100" baseline="0"/>
        </a:p>
        <a:p>
          <a:r>
            <a:rPr lang="en-US" sz="1100" baseline="0"/>
            <a:t>6) Project estimates and actuals will be updated again following year-end project update to reflect the most up to date estimates (numerator).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 </a:t>
          </a:r>
          <a:r>
            <a:rPr lang="en-US" sz="1100" baseline="0">
              <a:solidFill>
                <a:schemeClr val="dk1"/>
              </a:solidFill>
              <a:effectLst/>
              <a:latin typeface="+mn-lt"/>
              <a:ea typeface="+mn-ea"/>
              <a:cs typeface="+mn-cs"/>
            </a:rPr>
            <a:t>True up of estimates to actuals for OSL projects to occur every 2 years (aligned with business case process). </a:t>
          </a:r>
          <a:endParaRPr lang="en-US">
            <a:effectLst/>
          </a:endParaRPr>
        </a:p>
        <a:p>
          <a:endParaRPr lang="en-US" sz="1100" baseline="0"/>
        </a:p>
        <a:p>
          <a:r>
            <a:rPr lang="en-US" sz="1100" baseline="0"/>
            <a:t>8) Leviable land must also be updated to reflect the correct current available capacity which would pay for this infrastructure (denominator)</a:t>
          </a:r>
        </a:p>
        <a:p>
          <a:endParaRPr lang="en-US" sz="1100" baseline="0"/>
        </a:p>
        <a:p>
          <a:r>
            <a:rPr lang="en-US" sz="1100" baseline="0"/>
            <a:t>9) The rate set in 2016 &amp; updated in 2018 was based on assumptions that did not come to fruition (401Ha/year forecasted Development Agreements). This resulted in an artificially low rate (today the rate is $103,110 and in 2022 if the Bylaw was not updatedat all it would be $106,512)</a:t>
          </a:r>
        </a:p>
        <a:p>
          <a:endParaRPr lang="en-US" sz="1100" baseline="0"/>
        </a:p>
        <a:p>
          <a:r>
            <a:rPr lang="en-US" sz="1100" baseline="0"/>
            <a:t>10) The utility is exploring alternative short-term borrowing options to cover shortfalls. This increased cost of debt related interest payments would be paid for using levy funds. Currently, the Utility funds shortfalls through other sources and is not paid back any interest amount from the levy. </a:t>
          </a:r>
        </a:p>
        <a:p>
          <a:endParaRPr lang="en-US" sz="1100" baseline="0"/>
        </a:p>
        <a:p>
          <a:endParaRPr lang="en-US" sz="1100"/>
        </a:p>
      </xdr:txBody>
    </xdr:sp>
    <xdr:clientData/>
  </xdr:twoCellAnchor>
  <xdr:twoCellAnchor editAs="oneCell">
    <xdr:from>
      <xdr:col>11</xdr:col>
      <xdr:colOff>234646</xdr:colOff>
      <xdr:row>9</xdr:row>
      <xdr:rowOff>317500</xdr:rowOff>
    </xdr:from>
    <xdr:to>
      <xdr:col>41</xdr:col>
      <xdr:colOff>522961</xdr:colOff>
      <xdr:row>51</xdr:row>
      <xdr:rowOff>142875</xdr:rowOff>
    </xdr:to>
    <xdr:pic>
      <xdr:nvPicPr>
        <xdr:cNvPr id="4" name="Picture 3">
          <a:extLst>
            <a:ext uri="{FF2B5EF4-FFF2-40B4-BE49-F238E27FC236}">
              <a16:creationId xmlns:a16="http://schemas.microsoft.com/office/drawing/2014/main" id="{7A54F0C3-F7EB-4172-9B15-C9B3DEDB73F6}"/>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a:off x="8696021" y="1778000"/>
          <a:ext cx="33673440" cy="6858000"/>
        </a:xfrm>
        <a:prstGeom prst="rect">
          <a:avLst/>
        </a:prstGeom>
      </xdr:spPr>
    </xdr:pic>
    <xdr:clientData/>
  </xdr:twoCellAnchor>
  <xdr:twoCellAnchor editAs="oneCell">
    <xdr:from>
      <xdr:col>0</xdr:col>
      <xdr:colOff>78445</xdr:colOff>
      <xdr:row>22</xdr:row>
      <xdr:rowOff>80242</xdr:rowOff>
    </xdr:from>
    <xdr:to>
      <xdr:col>10</xdr:col>
      <xdr:colOff>916771</xdr:colOff>
      <xdr:row>31</xdr:row>
      <xdr:rowOff>144543</xdr:rowOff>
    </xdr:to>
    <xdr:pic>
      <xdr:nvPicPr>
        <xdr:cNvPr id="5" name="Picture 4">
          <a:extLst>
            <a:ext uri="{FF2B5EF4-FFF2-40B4-BE49-F238E27FC236}">
              <a16:creationId xmlns:a16="http://schemas.microsoft.com/office/drawing/2014/main" id="{011AC034-7A19-4F57-95FE-D6905CA563F5}"/>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rot="19750157">
          <a:off x="78445" y="3794992"/>
          <a:ext cx="8188451" cy="1667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592137</xdr:colOff>
      <xdr:row>37</xdr:row>
      <xdr:rowOff>1587</xdr:rowOff>
    </xdr:from>
    <xdr:to>
      <xdr:col>33</xdr:col>
      <xdr:colOff>325438</xdr:colOff>
      <xdr:row>54</xdr:row>
      <xdr:rowOff>26987</xdr:rowOff>
    </xdr:to>
    <xdr:graphicFrame macro="">
      <xdr:nvGraphicFramePr>
        <xdr:cNvPr id="2" name="Chart 1">
          <a:extLst>
            <a:ext uri="{FF2B5EF4-FFF2-40B4-BE49-F238E27FC236}">
              <a16:creationId xmlns:a16="http://schemas.microsoft.com/office/drawing/2014/main" id="{CD149ECF-C72D-44B8-875A-BB632990B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535781</xdr:colOff>
      <xdr:row>25</xdr:row>
      <xdr:rowOff>28573</xdr:rowOff>
    </xdr:from>
    <xdr:to>
      <xdr:col>9</xdr:col>
      <xdr:colOff>647699</xdr:colOff>
      <xdr:row>62</xdr:row>
      <xdr:rowOff>54429</xdr:rowOff>
    </xdr:to>
    <xdr:sp macro="" textlink="">
      <xdr:nvSpPr>
        <xdr:cNvPr id="3" name="TextBox 2">
          <a:extLst>
            <a:ext uri="{FF2B5EF4-FFF2-40B4-BE49-F238E27FC236}">
              <a16:creationId xmlns:a16="http://schemas.microsoft.com/office/drawing/2014/main" id="{9FA2F61D-3C4A-45A9-B525-340F1C96AF34}"/>
            </a:ext>
          </a:extLst>
        </xdr:cNvPr>
        <xdr:cNvSpPr txBox="1"/>
      </xdr:nvSpPr>
      <xdr:spPr>
        <a:xfrm>
          <a:off x="535781" y="4286248"/>
          <a:ext cx="6074568" cy="6179006"/>
        </a:xfrm>
        <a:prstGeom prst="rect">
          <a:avLst/>
        </a:prstGeom>
        <a:ln>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600" b="1" u="sng"/>
            <a:t>Key considerations for this model:</a:t>
          </a:r>
        </a:p>
        <a:p>
          <a:endParaRPr lang="en-US" sz="1100"/>
        </a:p>
        <a:p>
          <a:r>
            <a:rPr lang="en-US" sz="1100"/>
            <a:t>1)</a:t>
          </a:r>
          <a:r>
            <a:rPr lang="en-US" sz="1100" baseline="0"/>
            <a:t> The rate will not need to change based on development pace (more stability over the long term)</a:t>
          </a:r>
        </a:p>
        <a:p>
          <a:endParaRPr lang="en-US" sz="1100" baseline="0"/>
        </a:p>
        <a:p>
          <a:r>
            <a:rPr lang="en-US" sz="1100" baseline="0"/>
            <a:t>2) The rate updates that occur every 2 years will be influenced by a) approved New Community business cases (rate can go up or down), b) updated actuals and estimates for projects (rate can go up or down).</a:t>
          </a:r>
        </a:p>
        <a:p>
          <a:endParaRPr lang="en-US" sz="1100" baseline="0"/>
        </a:p>
        <a:p>
          <a:r>
            <a:rPr lang="en-US" sz="1100" baseline="0"/>
            <a:t>3) The goal of the model is to have a Net Present Value (NPV) of 0 (zero) when the last portion of debt for the last project included in the calculation is paid off (in 25 years). This means, there will be fluctuations in the form of levy shortfalls and balances due to cash flow but this will not be an impact to the rate.</a:t>
          </a:r>
        </a:p>
        <a:p>
          <a:endParaRPr lang="en-US" sz="1100" baseline="0"/>
        </a:p>
        <a:p>
          <a:r>
            <a:rPr lang="en-US" sz="1100" baseline="0"/>
            <a:t>4) Capacity could be used up before the debt term is done. This means that the revenue will be collected ahead of the final Principle and &amp; Interest payment. </a:t>
          </a:r>
        </a:p>
        <a:p>
          <a:endParaRPr lang="en-US" sz="1100" baseline="0"/>
        </a:p>
        <a:p>
          <a:r>
            <a:rPr lang="en-US" sz="1100" baseline="0"/>
            <a:t>5) Investment income will be applied to the calcualtion as it is earned. For example, earned investment income today has been used to off-set the current shortfall, reducing the impact of the shortfall to the levy rate setting.</a:t>
          </a:r>
        </a:p>
        <a:p>
          <a:endParaRPr lang="en-US" sz="1100" baseline="0"/>
        </a:p>
        <a:p>
          <a:r>
            <a:rPr lang="en-US" sz="1100" baseline="0"/>
            <a:t>6) Project estimates and actuals will be updated again following year-end project update to reflect the most up to date estimates (numerator).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 </a:t>
          </a:r>
          <a:r>
            <a:rPr lang="en-US" sz="1100" baseline="0">
              <a:solidFill>
                <a:schemeClr val="dk1"/>
              </a:solidFill>
              <a:effectLst/>
              <a:latin typeface="+mn-lt"/>
              <a:ea typeface="+mn-ea"/>
              <a:cs typeface="+mn-cs"/>
            </a:rPr>
            <a:t>True up of estimates to actuals for OSL projects to occur every 2 years (aligned with business case process). </a:t>
          </a:r>
          <a:endParaRPr lang="en-US">
            <a:effectLst/>
          </a:endParaRPr>
        </a:p>
        <a:p>
          <a:endParaRPr lang="en-US" sz="1100" baseline="0"/>
        </a:p>
        <a:p>
          <a:r>
            <a:rPr lang="en-US" sz="1100" baseline="0"/>
            <a:t>8) Leviable land must also be updated to reflect the correct current available capacity which would pay for this infrastructure (denominator)</a:t>
          </a:r>
        </a:p>
        <a:p>
          <a:endParaRPr lang="en-US" sz="1100" baseline="0"/>
        </a:p>
        <a:p>
          <a:r>
            <a:rPr lang="en-US" sz="1100" baseline="0"/>
            <a:t>9) The rate set in 2016 &amp; updated in 2018 was based on assumptions that did not come to fruition (401Ha/year forecasted Development Agreements). This resulted in an artificially low rate (today the rate is $103,110 and in 2022 if the Bylaw was not updatedat all it would be $106,512)</a:t>
          </a:r>
        </a:p>
        <a:p>
          <a:endParaRPr lang="en-US" sz="1100" baseline="0"/>
        </a:p>
        <a:p>
          <a:r>
            <a:rPr lang="en-US" sz="1100" baseline="0"/>
            <a:t>10) The utility is exploring alternative short-term borrowing options to cover shortfalls. This increased cost of debt related interest payments would be paid for using levy funds. Currently, the Utility funds shortfalls through other sources and is not paid back any interest amount from the levy. </a:t>
          </a:r>
        </a:p>
        <a:p>
          <a:endParaRPr lang="en-US" sz="1100" baseline="0"/>
        </a:p>
        <a:p>
          <a:endParaRPr lang="en-US" sz="1100"/>
        </a:p>
      </xdr:txBody>
    </xdr:sp>
    <xdr:clientData/>
  </xdr:twoCellAnchor>
  <xdr:twoCellAnchor editAs="oneCell">
    <xdr:from>
      <xdr:col>10</xdr:col>
      <xdr:colOff>1052853</xdr:colOff>
      <xdr:row>12</xdr:row>
      <xdr:rowOff>122462</xdr:rowOff>
    </xdr:from>
    <xdr:to>
      <xdr:col>41</xdr:col>
      <xdr:colOff>225383</xdr:colOff>
      <xdr:row>54</xdr:row>
      <xdr:rowOff>111123</xdr:rowOff>
    </xdr:to>
    <xdr:pic>
      <xdr:nvPicPr>
        <xdr:cNvPr id="4" name="Picture 3">
          <a:extLst>
            <a:ext uri="{FF2B5EF4-FFF2-40B4-BE49-F238E27FC236}">
              <a16:creationId xmlns:a16="http://schemas.microsoft.com/office/drawing/2014/main" id="{99D5853B-E928-4BE1-B055-E2A85BFAB782}"/>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a:off x="8409782" y="2281462"/>
          <a:ext cx="33498815" cy="7019018"/>
        </a:xfrm>
        <a:prstGeom prst="rect">
          <a:avLst/>
        </a:prstGeom>
      </xdr:spPr>
    </xdr:pic>
    <xdr:clientData/>
  </xdr:twoCellAnchor>
  <xdr:twoCellAnchor editAs="oneCell">
    <xdr:from>
      <xdr:col>0</xdr:col>
      <xdr:colOff>72572</xdr:colOff>
      <xdr:row>24</xdr:row>
      <xdr:rowOff>40820</xdr:rowOff>
    </xdr:from>
    <xdr:to>
      <xdr:col>10</xdr:col>
      <xdr:colOff>910898</xdr:colOff>
      <xdr:row>33</xdr:row>
      <xdr:rowOff>105121</xdr:rowOff>
    </xdr:to>
    <xdr:pic>
      <xdr:nvPicPr>
        <xdr:cNvPr id="5" name="Picture 4">
          <a:extLst>
            <a:ext uri="{FF2B5EF4-FFF2-40B4-BE49-F238E27FC236}">
              <a16:creationId xmlns:a16="http://schemas.microsoft.com/office/drawing/2014/main" id="{65A08C20-4DED-4908-A95C-04105E38F7E4}"/>
            </a:ext>
          </a:extLst>
        </xdr:cNvPr>
        <xdr:cNvPicPr>
          <a:picLocks noChangeAspect="1"/>
        </xdr:cNvPicPr>
      </xdr:nvPicPr>
      <xdr:blipFill>
        <a:blip xmlns:r="http://schemas.openxmlformats.org/officeDocument/2006/relationships" r:embed="rId2">
          <a:alphaModFix amt="9000"/>
          <a:extLst>
            <a:ext uri="{28A0092B-C50C-407E-A947-70E740481C1C}">
              <a14:useLocalDpi xmlns:a14="http://schemas.microsoft.com/office/drawing/2010/main" val="0"/>
            </a:ext>
          </a:extLst>
        </a:blip>
        <a:stretch>
          <a:fillRect/>
        </a:stretch>
      </xdr:blipFill>
      <xdr:spPr>
        <a:xfrm rot="19750157">
          <a:off x="72572" y="4168320"/>
          <a:ext cx="8195255" cy="16971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693963</xdr:colOff>
      <xdr:row>60</xdr:row>
      <xdr:rowOff>95251</xdr:rowOff>
    </xdr:from>
    <xdr:to>
      <xdr:col>42</xdr:col>
      <xdr:colOff>938892</xdr:colOff>
      <xdr:row>82</xdr:row>
      <xdr:rowOff>54428</xdr:rowOff>
    </xdr:to>
    <xdr:graphicFrame macro="">
      <xdr:nvGraphicFramePr>
        <xdr:cNvPr id="2" name="Chart 1">
          <a:extLst>
            <a:ext uri="{FF2B5EF4-FFF2-40B4-BE49-F238E27FC236}">
              <a16:creationId xmlns:a16="http://schemas.microsoft.com/office/drawing/2014/main" id="{8E21CCAF-10CF-428B-BA19-B51736AB3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394607</xdr:colOff>
      <xdr:row>28</xdr:row>
      <xdr:rowOff>81643</xdr:rowOff>
    </xdr:from>
    <xdr:to>
      <xdr:col>9</xdr:col>
      <xdr:colOff>534646</xdr:colOff>
      <xdr:row>62</xdr:row>
      <xdr:rowOff>83006</xdr:rowOff>
    </xdr:to>
    <xdr:sp macro="" textlink="">
      <xdr:nvSpPr>
        <xdr:cNvPr id="5" name="TextBox 4">
          <a:extLst>
            <a:ext uri="{FF2B5EF4-FFF2-40B4-BE49-F238E27FC236}">
              <a16:creationId xmlns:a16="http://schemas.microsoft.com/office/drawing/2014/main" id="{5A946A6A-6B3A-4DC6-8C79-FC4A71CB6B19}"/>
            </a:ext>
          </a:extLst>
        </xdr:cNvPr>
        <xdr:cNvSpPr txBox="1"/>
      </xdr:nvSpPr>
      <xdr:spPr>
        <a:xfrm>
          <a:off x="394607" y="5021036"/>
          <a:ext cx="6127182" cy="5879649"/>
        </a:xfrm>
        <a:prstGeom prst="rect">
          <a:avLst/>
        </a:prstGeom>
        <a:ln>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600" b="1" u="sng"/>
            <a:t>Key considerations for this model:</a:t>
          </a:r>
        </a:p>
        <a:p>
          <a:endParaRPr lang="en-US" sz="1100"/>
        </a:p>
        <a:p>
          <a:r>
            <a:rPr lang="en-US" sz="1100"/>
            <a:t>1)</a:t>
          </a:r>
          <a:r>
            <a:rPr lang="en-US" sz="1100" baseline="0"/>
            <a:t> The rate will not need to change based on development pace (more stability over the long term)</a:t>
          </a:r>
        </a:p>
        <a:p>
          <a:endParaRPr lang="en-US" sz="1100" baseline="0"/>
        </a:p>
        <a:p>
          <a:r>
            <a:rPr lang="en-US" sz="1100" baseline="0"/>
            <a:t>2) The rate will be influenced by a) actual land absorption and any additional approved New Community business cases (the denominator can go up or down); b) updated actuals and estimates for projects (the numerator can go up or down).</a:t>
          </a:r>
        </a:p>
        <a:p>
          <a:endParaRPr lang="en-US" sz="1100" baseline="0"/>
        </a:p>
        <a:p>
          <a:r>
            <a:rPr lang="en-US" sz="1100" baseline="0"/>
            <a:t>3) The goal of the model is to have a Net Present Value (NPV) of 0 (zero) when the last portion of debt for the last project included in the calculation is paid off. This means, there will be fluctuations in the form of levy revenue shortfalls and balances due to cash flow but this will not be an impact to the rate.</a:t>
          </a:r>
        </a:p>
        <a:p>
          <a:endParaRPr lang="en-US" sz="1100" baseline="0"/>
        </a:p>
        <a:p>
          <a:r>
            <a:rPr lang="en-US" sz="1100" baseline="0"/>
            <a:t>4) Capacity could be used up before the debt term is done. This means that the revenue will be collected ahead of the final Principle and &amp; Interest payment. </a:t>
          </a:r>
        </a:p>
        <a:p>
          <a:endParaRPr lang="en-US" sz="1100" baseline="0"/>
        </a:p>
        <a:p>
          <a:r>
            <a:rPr lang="en-US" sz="1100" baseline="0"/>
            <a:t>5) Investment income will be applied to the calculation as it is earned. For example, earned investment income today has been used to off-set the current shortfall, reducing the impact of the shortfall to the levy rate setting.</a:t>
          </a:r>
        </a:p>
        <a:p>
          <a:endParaRPr lang="en-US" sz="1100" baseline="0"/>
        </a:p>
        <a:p>
          <a:r>
            <a:rPr lang="en-US" sz="1100" baseline="0"/>
            <a:t>6) Project estimates and actuals will be updated again following 2023 year-end project update to reflect the most up to date estimates (numerator).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 </a:t>
          </a:r>
          <a:r>
            <a:rPr lang="en-US" sz="1100" baseline="0">
              <a:solidFill>
                <a:schemeClr val="dk1"/>
              </a:solidFill>
              <a:effectLst/>
              <a:latin typeface="+mn-lt"/>
              <a:ea typeface="+mn-ea"/>
              <a:cs typeface="+mn-cs"/>
            </a:rPr>
            <a:t>True up of estimates to actuals for OSL projects are aligned with any rate updates. </a:t>
          </a:r>
          <a:endParaRPr lang="en-US">
            <a:effectLst/>
          </a:endParaRPr>
        </a:p>
        <a:p>
          <a:endParaRPr lang="en-US" sz="1100" baseline="0"/>
        </a:p>
        <a:p>
          <a:r>
            <a:rPr lang="en-US" sz="1100" baseline="0"/>
            <a:t>8) Leviable land must also be updated to reflect the correct current available capacity which would pay for this infrastructure (denominator)</a:t>
          </a:r>
        </a:p>
        <a:p>
          <a:endParaRPr lang="en-US" sz="1100" baseline="0"/>
        </a:p>
        <a:p>
          <a:r>
            <a:rPr lang="en-US" sz="1100" baseline="0"/>
            <a:t>9) 15 year debt term is used instead of 25 year debt term to reduce financing cost and be more consistent with community full built out time.</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380999</xdr:colOff>
      <xdr:row>47</xdr:row>
      <xdr:rowOff>11906</xdr:rowOff>
    </xdr:from>
    <xdr:to>
      <xdr:col>16</xdr:col>
      <xdr:colOff>130968</xdr:colOff>
      <xdr:row>66</xdr:row>
      <xdr:rowOff>71437</xdr:rowOff>
    </xdr:to>
    <xdr:sp macro="" textlink="">
      <xdr:nvSpPr>
        <xdr:cNvPr id="2" name="TextBox 1">
          <a:extLst>
            <a:ext uri="{FF2B5EF4-FFF2-40B4-BE49-F238E27FC236}">
              <a16:creationId xmlns:a16="http://schemas.microsoft.com/office/drawing/2014/main" id="{13057F9C-BCDC-4E43-9D37-8FA1D0BF5F27}"/>
            </a:ext>
          </a:extLst>
        </xdr:cNvPr>
        <xdr:cNvSpPr txBox="1"/>
      </xdr:nvSpPr>
      <xdr:spPr>
        <a:xfrm>
          <a:off x="10775949" y="26872406"/>
          <a:ext cx="6861969" cy="3679031"/>
        </a:xfrm>
        <a:prstGeom prst="rect">
          <a:avLst/>
        </a:prstGeom>
        <a:ln>
          <a:solidFill>
            <a:srgbClr val="00B050"/>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en-US" sz="2000" b="1" u="sng"/>
            <a:t>Key considerations for project lists:</a:t>
          </a:r>
        </a:p>
        <a:p>
          <a:r>
            <a:rPr lang="en-US" sz="1400" baseline="0"/>
            <a:t>1) Further refinement of project costs will occur as better estimates are received. These are the best estimates we have at this time.</a:t>
          </a:r>
        </a:p>
        <a:p>
          <a:endParaRPr lang="en-US" sz="1400" baseline="0"/>
        </a:p>
        <a:p>
          <a:r>
            <a:rPr lang="en-US" sz="1400"/>
            <a:t>2) Reminder</a:t>
          </a:r>
          <a:r>
            <a:rPr lang="en-US" sz="1400" baseline="0"/>
            <a:t> that timing of projects will shift but it will not have a material impact to the model or rate calculation due to the NPV function built into the model. </a:t>
          </a:r>
          <a:endParaRPr 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143</xdr:row>
      <xdr:rowOff>0</xdr:rowOff>
    </xdr:from>
    <xdr:to>
      <xdr:col>27</xdr:col>
      <xdr:colOff>636058</xdr:colOff>
      <xdr:row>172</xdr:row>
      <xdr:rowOff>25400</xdr:rowOff>
    </xdr:to>
    <xdr:sp macro="" textlink="">
      <xdr:nvSpPr>
        <xdr:cNvPr id="2" name="TextBox 1">
          <a:extLst>
            <a:ext uri="{FF2B5EF4-FFF2-40B4-BE49-F238E27FC236}">
              <a16:creationId xmlns:a16="http://schemas.microsoft.com/office/drawing/2014/main" id="{2A23CADA-E65C-4308-BA2A-7EBFA8B47885}"/>
            </a:ext>
          </a:extLst>
        </xdr:cNvPr>
        <xdr:cNvSpPr txBox="1"/>
      </xdr:nvSpPr>
      <xdr:spPr>
        <a:xfrm>
          <a:off x="5484813" y="5532438"/>
          <a:ext cx="5858933" cy="4859337"/>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a:t>Key considerations</a:t>
          </a:r>
          <a:r>
            <a:rPr lang="en-US" sz="1600" b="1" u="sng" baseline="0"/>
            <a:t> for debt inputs (applies to all Catchments):</a:t>
          </a:r>
        </a:p>
        <a:p>
          <a:pPr algn="l"/>
          <a:r>
            <a:rPr lang="en-US" sz="1600" b="0" u="none" baseline="0"/>
            <a:t>1) Actual debt taken is in row 22 and accounts for any debt on a capital project that is levy eligible. This debt starts with all growth supporting projects going back to 2000.</a:t>
          </a:r>
        </a:p>
        <a:p>
          <a:pPr algn="l"/>
          <a:endParaRPr lang="en-US" sz="1600" b="0" u="none" baseline="0"/>
        </a:p>
        <a:p>
          <a:pPr algn="l"/>
          <a:r>
            <a:rPr lang="en-US" sz="1600" b="0" u="none" baseline="0"/>
            <a:t>2) In 2011, the levy began paying for a portion of the Principal &amp; Interest payments due each year (50%) associated with all growth projects. </a:t>
          </a:r>
        </a:p>
        <a:p>
          <a:pPr algn="l"/>
          <a:endParaRPr lang="en-US" sz="1600" b="0" u="none" baseline="0"/>
        </a:p>
        <a:p>
          <a:pPr algn="l"/>
          <a:r>
            <a:rPr lang="en-US" sz="1600" b="0" u="none" baseline="0"/>
            <a:t>3) In 2016, the levy was used to fund the entire Principal &amp; Interest payment amount due each year.</a:t>
          </a:r>
        </a:p>
        <a:p>
          <a:pPr algn="l"/>
          <a:endParaRPr lang="en-US" sz="1600" b="0" u="none" baseline="0"/>
        </a:p>
        <a:p>
          <a:pPr algn="l"/>
          <a:r>
            <a:rPr lang="en-US" sz="1600" b="0" u="none" baseline="0"/>
            <a:t>4) 2023 onward contain both actual debt payments due (P&amp;I) as well as projected P&amp;I payments based on the greenfield growth allocated capital costs.  </a:t>
          </a:r>
          <a:endParaRPr lang="en-US" sz="1600" b="0"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umentmanagement/lldm01/llisapi.dll/60643377/WA_Section_O_Accounts_Payable_2010-09-30.xlsx?func=doc.Fetch&amp;nodeid=60643377&amp;viewTyp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4.0%20Acreage%20Assessments%20%20SDA\Presentations\Aug%2015th\drainage\OLSH%20Wetlands%20Payment%20Schedule%20for%20Shepard%20model%20revised.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c\fin\BUDGET\Prog840%20Debt%20Charges\2009-11Prog840\Backups\1-2009-11%20Prog%20840%20workshe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documentmanagement/Infrastructure%20Delivery/Program%20Coord_Bus%20Support/PPR%20-%20Livelink%20Files/SET%20UP%20IN%20LIVELINK.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harepoint/Users/fleberre/Desktop/WPG/CoW%20-%20Business%20Case/CoW%20NPV%20and%20Benefit%20Calculation%20tool%20-%20V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c\fin\Users\egalindo\AppData\Local\Microsoft\Windows\Temporary%20Internet%20Files\Content.Outlook\P0LSXTRE\West%20Macleod%20in%20master%20file%202014%20Mar%20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documentmanagement/Users/apkos/Downloads/BC%20Web%20Dat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c\fin\Users\egalindo\AppData\Local\Microsoft\Windows\Temporary%20Internet%20Files\Content.Outlook\P0LSXTRE\WWWS%20Offsite%20Levy%20Model%20June%202nd%202015%20(5).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c\fin\Business%20Strategy%20&amp;%20Performance\Rates%20&amp;%20Financial\Acreage%20Assessments%20%20SDA\UDI%20reporting\Back%20Up%20files\Waste%20Water%20Treatment%20Calculator%20-%202013-prior%20modified%20(2000-2010)%20july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ste%20Water%20Treatment%20Calculator%20-%202013-prior%20modified%20(2000-2010)%20july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c\fin\Business%20Strategy%20&amp;%20Performance\Rates%20&amp;%20Financial\Acreage%20Assessments%20%20SDA\UDI%20reporting\Back%20Up%20files\Waste%20Water%20Collection%20Calculator%20-%202013-prior%20modified%202000-2010%20June%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c\city\Reports\GeneralLedger\Cityc\Current\LINE_ITEM_ANALYSIS%20(E)_2009-12-3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c\fin\Budget\Water\CAPBUD_540.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Shared\Portfolio%20Finance%20Corp%20Serv_UEP\UEP\Water_Financial%20Rates%20Analyst\OSL\1.1%20OSL%20Monthly%20Management%20Reports\2020\12_2020\02_2020%20AP12%20OSL%20Model%20@2021.1.28.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c\fin\Business%20Strategy%20&amp;%20Performance\Rates%20&amp;%20Financial\Acreage%20Assessments%20%20SDA\UDI%20reporting\Back%20Up%20files\Waste%20Water%20Treatment%20Calculator%20-%202013-prior%20modified%20(2011-2013)%20June%202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ste%20Water%20Treatment%20Calculator%20-%202013-prior%20modified%20(2011-2013)%20June%20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Acreage%20Assessments%20%20SDA\Presentations\May%206%20Presentation\New%20direction\AA%20All%20levy%20April%2010%20V1Status%20quo%20debt%20to%202074%20graphs%20aug26.xlsx" TargetMode="External"/></Relationships>
</file>

<file path=xl/externalLinks/_rels/externalLink25.xml.rels><?xml version="1.0" encoding="UTF-8" standalone="yes"?>
<Relationships xmlns="http://schemas.openxmlformats.org/package/2006/relationships"><Relationship Id="rId2" Type="http://schemas.microsoft.com/office/2019/04/relationships/externalLinkLongPath" Target="file:///\\cs1data1\#CS1DATA1\Business Strategy &amp; Performance\4.0 Financial Policy &amp; Process\Acreage Assessments  SDA\Presentations\May 6 Presentation\New direction\AA All levy April 10 V1Status quo debt to 2074 graphs aug26.xlsx?60912623" TargetMode="External"/><Relationship Id="rId1" Type="http://schemas.openxmlformats.org/officeDocument/2006/relationships/externalLinkPath" Target="file:///\\60912623\AA%20All%20levy%20April%2010%20V1Status%20quo%20debt%20to%202074%20graphs%20aug2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c\fin\Business%20Strategy%20&amp;%20Performance\Rates%20&amp;%20Financial\Acreage%20Assessments%20%20SDA\UDI%20reporting\Back%20Up%20files\Water%20Treatment%20Calculator%20-%202013-prior%20modified%20(2000-2010)%20July%208th.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Treatment%20Calculator%20-%202013-prior%20modified%20(2000-2010)%20July%208th.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c\Business%20Strategy%20&amp;%20Performance\4.0%20Financial%20Policy%20&amp;%20Process\Acreage%20Assessments%20%20SDA\Presentations\May%206%20Presentation\New%20direction\Supporting%20papers\AA%20All%20levy%20April%2010%20V1Status%20quo%20debt%20to%202074%20graphs.xlsx"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file:///\\cs1data1\#CS1DATA1\Business Strategy &amp; Performance\4.0 Financial Policy &amp; Process\Acreage Assessments  SDA\Presentations\May 6 Presentation\New direction\Supporting papers\AA All levy April 10 V1Status quo debt to 2074 graphs.xlsx?E3EAC71A" TargetMode="External"/><Relationship Id="rId1" Type="http://schemas.openxmlformats.org/officeDocument/2006/relationships/externalLinkPath" Target="file:///\\E3EAC71A\AA%20All%20levy%20April%2010%20V1Status%20quo%20debt%20to%202074%20graph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Corporate%20Finance/Investment%20Planning/Shared%20Documents/Templates%20and%20Tools/WPG/CoW%20-%20Risk/Fire%20&amp;%20Paramedics/CoW%20CAM%20-%20Fire%20Needs%20Assessment-V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c\fin\Business%20Strategy%20&amp;%20Performance\Rates%20&amp;%20Financial\Acreage%20Assessments%20%20SDA\UDI%20reporting\Back%20Up%20files\Water%20Distribution%20Calculator%20-%202013-prior%20modified%20(2000-2010)%20June%2024th.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Distribution%20Calculator%20-%202013-prior%20modified%20(2000-2010)%20June%2024th.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Acreage%20Assessments%20%20SDA\Presentations\May%206%20Presentation\New%20direction\Elbow%20202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Acreage%20Assessments%20%20SDA\Presentations\May%206%20Presentation\New%20direction\Fish%20202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4.0%20Acreage%20Assessments%20%20SDA\Presentations\May%206%20Presentation\New%20direction\Pine%20202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4.0%20Acreage%20Assessments%20%20SDA\Debentures\Historical\Nose%20Creek%20Calculator%20-%202013-prior%20for%20drainage%20model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4.0%20Acreage%20Assessments%20%20SDA\Debentures\Historical\Nose%20Creek%20Calculator%20-%202013-prior%20for%20drainage%20model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oc\fin\Business%20Strategy%20&amp;%20Performance\Rates%20&amp;%20Financial\Acreage%20Assessments%20%20SDA\UDI%20reporting\Back%20Up%20files\Water%20Distribution%20Calculator%20-%202013-prior%20modified%20(2011-2013)%20June%2024th.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Distribution%20Calculator%20-%202013-prior%20modified%20(2011-2013)%20June%2024th.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4.0%20Acreage%20Assessments%20%20SDA\UDI%20reporting\Drainage\Drainage%20back%20up\Shepard%20Calculator%20-2011-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c\fin\Users\egalindo\AppData\Local\Microsoft\Windows\Temporary%20Internet%20Files\Content.Outlook\P0LSXTRE\20150522_LevyPaymentBehaviour_WorkingFile%20(3).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oc\fin\Business%20Strategy%20&amp;%20Performance\4.0%20Financial%20Policy%20&amp;%20Process\4.0%20Acreage%20Assessments%20%20SDA\UDI%20reporting\Drainage\Drainage%20back%20up\Nose%20Creek%20Calculator%20-2011-201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oc\fin\Users\PMSHAKOPARRIS\AppData\Local\Microsoft\Windows\Temporary%20Internet%20Files\Content.Outlook\7WSENST7\Leaders%20provide%20August%202014%20budget%20changes%20here%20KMartens.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oc\fin\Users\apkos\AppData\Local\Microsoft\Windows\Temporary%20Internet%20Files\Content.Outlook\HIG3Z09J\Sponsor%20endorsed%20Spending%20Plan%20for%20June%20AFE%20at%202014-05-14%20Erin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oc\fin\Paul%20Ramanat\Rates%20Inflation%20Tables\loanssep180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oc\fin\Accounting\Municipal\Rates%20Anaylst\excel\work99\rs2000\histinc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documentmanagement/lldm01/livelink.exe/57942653/JE%20TEMPLAT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Shared\Portfolio%20Finance%20Corp%20Serv_UEP\UEP\Water_Financial%20Rates%20Analyst\OSL\1.6%20OSL%20project%20for%202021%20rate\01%20models\4.1%202016%20OSL%20model%20for%20Water%20TP%20@Apr21.xlsx" TargetMode="External"/></Relationships>
</file>

<file path=xl/externalLinks/_rels/externalLink47.xml.rels><?xml version="1.0" encoding="UTF-8" standalone="yes"?>
<Relationships xmlns="http://schemas.openxmlformats.org/package/2006/relationships"><Relationship Id="rId2" Type="http://schemas.microsoft.com/office/2019/04/relationships/externalLinkLongPath" Target="file:///\\coc\Strategic%20Services\Business%20Strategy%20&amp;%20Performance\5.0%20Investment%20Policy%20and%20Reporting\Budget%20Management\2014\AFE\12%20December%202014\Current%20Spending%20Plan%20at%202014-12-03-With%20Deferrals%20-%20including%202014-2018%20-%20FLB.xlsx?1D7FA852" TargetMode="External"/><Relationship Id="rId1" Type="http://schemas.openxmlformats.org/officeDocument/2006/relationships/externalLinkPath" Target="file:///\\1D7FA852\Current%20Spending%20Plan%20at%202014-12-03-With%20Deferrals%20-%20including%202014-2018%20-%20FLB.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documentmanagement/Infrastructure%20Planning/Asset%20Management/WIIP/WIIP_VID_PS/WIIP_2015%20to%202024_VID_AK/Prioritization_VID/BC%20Web%20Data%20-%20AFE%20vs%20WIIP%20March%2028,2014.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documentmanagement/data/Downloads/Spending%20Plans%20-%20Comparison%20-%202014%2001%2015%20for%20Vanessa_From%20Naveet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1data1\%23CS1DATA1\Users\egalindo\AppData\Local\Microsoft\Windows\Temporary%20Internet%20Files\Content.Outlook\P0LSXTRE\20150522_LevyPaymentBehaviour_WorkingFile%20(3).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oc\fin\data\Downloads\Spending%20Plans%20-%20Comparison%20-%202014%2001%2015%20for%20Vanessa_From%20Naveet_v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harepoint/Corporate%20Finance/Investment%20Planning/Shared%20Documents/Templates%20and%20Tools/WPG/CoW%20-%20Risk/Roads/CoW%20CAM%20-%20Trans%20Needs%20Assessment-V6.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documentmanagement/lldm01/livelink.exe/57983653/SFP%20Water%202009%20Dec%203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documentmanagement/UEP_PROCESS_GROUP/WR_WASTE%20RECYCLING/Barker,%20Helen/2008%20Files/Monthly%20Financials%20-%202008/10%20Oct%2008/WRS_Spyhill%20Remediation%20Cost%20Tr.%20In%20Oct%200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oc\fin\Users\BJIA\AppData\Local\Microsoft\Windows\INetCache\Content.Outlook\ITGXHZJ3\Shepard%20Loan%20payment%20tracking%20sheet.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oc\fin\Shared\Portfolio%20Finance%20Corp%20Serv_UEP\UEP\Water_Financial%20Rates%20Analyst\OSL\1.6%20OSL%20project%20for%202022%20rate\01%20models\Stormwater\Drainage%20model%20-%203.10.2222%20-%2015%20year%20debt%20term.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Input-Debt%20Fish%20Creek"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fscm.cofc.gov.calgary.ab.ca/psreports/fscm/7535076/DR_10945647_10959674_RESERVES_CITYC_2013-09-3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documentmanagement/Users/apkos/AppData/Local/Microsoft/Windows/Temporary%20Internet%20Files/Content.Outlook/HIG3Z09J/Master%20Prioritization%20Apr%204,%202014.xlsm"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workgroups.coc.ca/workgroups/pi/WRCP/Budget%20Manager%2020132022/2012-2014%20Capital%20Budget%20-%20Current/Current%20Spending%20Plan/Approved%20Spending%20Plan_May%2010_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c\fin\Users\egalindo\AppData\Local\Microsoft\Windows\Temporary%20Internet%20Files\Content.Outlook\P0LSXTRE\Calgary%20Water_final.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fscm.cofc.gov.calgary.ab.ca/psreports/pdfs/4297116/DR_2819534_2896289_RESERVES_CITYC_2007-12-3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s1pace1\reports\GeneralLedger\Cityc\Current\UTILITIES-ENVIRON%20PROTECTION\DRAINAGE\SFP_Drainage_2007-04-3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mycity/Users/drew/AppData/Local/Microsoft/Windows/Temporary%20Internet%20Files/Content.IE5/T9B628NS/Scoring%20Calculator.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documentmanagement/lldm01/livelink.exe/50715247/2008_YE_Holdbacks_review.xls?func=doc.Fetch&amp;nodeId=50715247&amp;vernum=1"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oc\fin\Shared\Portfolio%20Finance%20Corp%20Serv_UEP\UEP\Water_Financial%20Rates%20Analyst\OSL\1.6%20OSL%20project%20for%202022%20rate\01%20models\Stormwater\January%202023%20Drainage%20Active%20%20Planned%20Project%20Forecast%20Upd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c\fin\Users\DLGORDON\AppData\Local\Microsoft\Windows\Temporary%20Internet%20Files\Content.Outlook\2BICL2YY\Calgary%20Water_all%20GS,%20MD%20allo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ocumentmanagement/lldm01/livelink.exe/57942653/Journal%20Entry_v1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c\fin\Dillingham\Model\12-5-13%20scenarios\Water%20Scenario%20A%20-%2012.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Review &amp; instr"/>
      <sheetName val="Section O - OP &amp; CAP"/>
      <sheetName val="O_Accounts_Payable Sep"/>
      <sheetName val="O-1 Trade Payables"/>
      <sheetName val="O-1-1 Trade Payables (2)"/>
      <sheetName val="O-2 Deposit liability Sep"/>
      <sheetName val="O-2-1 Deposit Liabilities (2)"/>
      <sheetName val="O-3-1 Sep"/>
      <sheetName val="O-3-1 Other Payables (2)"/>
      <sheetName val="O-4 L1012 capital"/>
      <sheetName val="L5035 Sep"/>
      <sheetName val="O-Accounts_Payable"/>
      <sheetName val="O-1 Other Payables"/>
      <sheetName val="O-1-1 Trade Payables"/>
      <sheetName val="O-2 Deposit liabilities"/>
      <sheetName val="O-2-1 Deposit Liabilities "/>
      <sheetName val="O-2-1-AP drill 5027"/>
      <sheetName val="O-3 other payables Misc"/>
      <sheetName val="O-3-1 Other Payable"/>
      <sheetName val="O-5 L1010 capital"/>
      <sheetName val="L1012 Capital May31"/>
      <sheetName val="Sheet1"/>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1 - Loan beg 2009"/>
      <sheetName val="Loan w org int"/>
      <sheetName val="UEP AA Forecast"/>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DataSort"/>
      <sheetName val="Mapping"/>
      <sheetName val="P840"/>
      <sheetName val="Master"/>
      <sheetName val="For input"/>
      <sheetName val="For EPM"/>
      <sheetName val="SupplementaryPage "/>
      <sheetName val="ExpenditureRevenue"/>
      <sheetName val="Pre 1999"/>
      <sheetName val="Struct"/>
      <sheetName val="350 M"/>
      <sheetName val="Growth"/>
      <sheetName val="350 M projection"/>
      <sheetName val="LI"/>
      <sheetName val="Detail"/>
      <sheetName val="OB25Breakdown"/>
      <sheetName val="IL"/>
      <sheetName val="WWSchedule"/>
      <sheetName val="DebtChargeSavings"/>
      <sheetName val="DebtDisplacement"/>
      <sheetName val="Contr. To Reserves"/>
      <sheetName val="LCMR 1.5% calculation"/>
      <sheetName val="LCMR 2.6% calculation"/>
      <sheetName val="C_Combined_Reserve"/>
      <sheetName val="CIF_Approved Options"/>
      <sheetName val="WWDebtSaving"/>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Budget_February 14"/>
      <sheetName val="Final Budget_February 13"/>
      <sheetName val="Final Budget_February 8"/>
      <sheetName val="Sheet4"/>
      <sheetName val="Sheet1"/>
      <sheetName val="2011 Financials"/>
      <sheetName val="2011 Financials-Updated"/>
      <sheetName val="Sheet2"/>
      <sheetName val="Sheet3"/>
      <sheetName val="Summary"/>
      <sheetName val="For Print"/>
      <sheetName val="Sheet5"/>
      <sheetName val="Sheet6"/>
      <sheetName val="Sheet7"/>
      <sheetName val="SET UP IN LIVELINK"/>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BC Appendix"/>
      <sheetName val="NPV Option1"/>
      <sheetName val="NPV Option2"/>
      <sheetName val="NPV Option3"/>
      <sheetName val="NPV Option4"/>
      <sheetName val="Options Benefit"/>
      <sheetName val="Evaluation Sheet"/>
      <sheetName val="Conversion Tables"/>
      <sheetName val="Weighting Sca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WIIP Cash Flow"/>
      <sheetName val="CGMP Inflated Cash Flow"/>
      <sheetName val="WIIP Costs for Growth Updated"/>
      <sheetName val="West Macleod WIIP Costs"/>
      <sheetName val="West Macleod B Cases"/>
      <sheetName val="WIIP Costs for Growth"/>
      <sheetName val="Sheet1"/>
      <sheetName val="Master"/>
      <sheetName val="Water SC"/>
      <sheetName val="Wastewater SC"/>
      <sheetName val="Drainage SC"/>
      <sheetName val="Common Assets SC"/>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Non-Discretionary"/>
      <sheetName val="Sheet2"/>
    </sheetNames>
    <sheetDataSet>
      <sheetData sheetId="0"/>
      <sheetData sheetId="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Billing- Levy Receivable"/>
      <sheetName val="Land Forecast"/>
      <sheetName val="Summary- Reserve 2013"/>
      <sheetName val="Scenario-40K Costs per Unit v2 "/>
      <sheetName val="Scenario-40KCosts per Unit 92-8"/>
      <sheetName val="Scenario-40K Plants Adjustments"/>
      <sheetName val="Scenario-40K Linear ADJ  92-8"/>
      <sheetName val="Scenario-40K Linear ADJ 80-20 "/>
      <sheetName val="Scenario-40K Costs per Unit "/>
      <sheetName val="Graph-current state analysis"/>
      <sheetName val="Graphs-volatility"/>
      <sheetName val="Billing- 2011-2013"/>
      <sheetName val="Billing- 2014 Summary"/>
      <sheetName val="Input"/>
      <sheetName val="Wastewater Collection model"/>
      <sheetName val="Wastewater Treatment model"/>
      <sheetName val="Water Distribution model"/>
      <sheetName val="Water Treatment model "/>
      <sheetName val="Debt-WTP 2025 Result"/>
      <sheetName val="Debt-WTP2011-2013-25Yrs"/>
      <sheetName val="Debt-WTP 2025 Input"/>
      <sheetName val="Debt-WWTP 2025 Result"/>
      <sheetName val="Summary- tables Updated"/>
      <sheetName val="Reserves v1"/>
      <sheetName val="Summary"/>
      <sheetName val="Financing"/>
      <sheetName val="EXP-WIIP 2015-2024"/>
      <sheetName val="EXP-AFE 2014"/>
      <sheetName val="EXP-CAPEX2000-2013 "/>
      <sheetName val="Debt-WWTP 2014 Input"/>
      <sheetName val="Debt-WWTP 2015-2024 Input"/>
      <sheetName val="Debt-WWTP 2015-2024-5Yrs"/>
      <sheetName val="Debt-WWTP 2015-2024 10Yrs"/>
      <sheetName val="Debt-WWTP 2015-2024 15Yrs"/>
      <sheetName val="Debt-WWTP- 2015-2024 20Yrs"/>
      <sheetName val="Debt-WWTP 2015-2024 25Yrs"/>
      <sheetName val="Debt-WWTP- 2015-2024 30Yrs"/>
      <sheetName val="Debt-WWTP 2025 5Yrs"/>
      <sheetName val="Debt-WWTP 2025 10Yrs"/>
      <sheetName val="Debt-WWTP 2025 15Yrs"/>
      <sheetName val="Debt-WWTP 2025 20Yrs"/>
      <sheetName val="Debt-WWTP 2025 25Yrs"/>
      <sheetName val="Debt-WWTP 2025 30Yrs"/>
      <sheetName val="Debt-WTP2000-2010Debt-15Yrs"/>
      <sheetName val="Debt-WTP 2000-2010Debt-25Yrs"/>
      <sheetName val="Debt-WWTP 2025 Input"/>
      <sheetName val="Debt- Distribution 2014 Input"/>
      <sheetName val="Debt-WTP 2000-2010Result"/>
      <sheetName val="Debt- Collection 2000-2010 15"/>
      <sheetName val="Debt- Collection 2000-2010 25y"/>
      <sheetName val="Debt- Water Treatment2014 Input"/>
      <sheetName val="Debt-Water Treat 2015-2024Input"/>
      <sheetName val="Debt-Water Treat 2015-202410Yrs"/>
      <sheetName val="Debt-Water Treat 2015-202415Yrs"/>
      <sheetName val="Debt-Water Treat 2015-202420Yrs"/>
      <sheetName val="Debt-Water Treat 2015-202425Yrs"/>
      <sheetName val="Debt-Water Treat 2015-202430Yrs"/>
      <sheetName val="Debt-WaterTreat 2015-2024 5Yrs"/>
      <sheetName val="Debt-Water Treat 2025 5Yrs"/>
      <sheetName val="Debt-Water Treat 2025 10Yrs"/>
      <sheetName val="Debt- Water Treat 2025 15Yrs"/>
      <sheetName val="Debt-Water Treat 2025 20Yrs"/>
      <sheetName val="Debt-Water Treat 2025 25Yrs"/>
      <sheetName val="Debt-Water Treat 2025 30Yrs"/>
      <sheetName val="Debt- Distrib 2015-2024 Input"/>
      <sheetName val="Debt-Distrib 2015-2024 5Yrs"/>
      <sheetName val="Debt-Distrib 2015-2024 10Yrs"/>
      <sheetName val="Debt-Distrib 2015-2024 15Yrs"/>
      <sheetName val="Debt-Distrib 2015-2024 20Yrs"/>
      <sheetName val="Debt- Distrib 2015-2024 25Yrs"/>
      <sheetName val="Debt- Distrib 2015-2024 30Yrs"/>
      <sheetName val="Debt- Distrib 2025 Input"/>
      <sheetName val="Debt- Distrib 2025 5Yrs"/>
      <sheetName val="Debt- Distrib 2025 10Yrs"/>
      <sheetName val="Debt- Distrib 2025 15Yrs"/>
      <sheetName val="Debt- Distrib 2025 20Yrs"/>
      <sheetName val="Debt- Distrib 2025 25Yrs"/>
      <sheetName val="Debt- Distrib 2025 30Yrs"/>
      <sheetName val="Debt-Collection Input 2015-2024"/>
      <sheetName val="Debt-Collection2015-2024 Result"/>
      <sheetName val="Debt-Collection 2015-2024 5Yrs"/>
      <sheetName val="Debt-Collection 2015-2024-10Yrs"/>
      <sheetName val="Debt-Collection 2015-2024 15Yrs"/>
      <sheetName val="Debt-Collection 2015-2024 20Yrs"/>
      <sheetName val="Debt-Collection 2015-2024 25Yrs"/>
      <sheetName val="Debt-Collection 2015-2024 30Yrs"/>
      <sheetName val="Debt-Collection 2014 Input"/>
      <sheetName val="Debt-Collection2025 Input"/>
      <sheetName val="Debt-WWTP 2015-2024 Result"/>
      <sheetName val="Debt-WTP 2015-2024Result"/>
      <sheetName val="Debt- Distrib 2015-2024 Result"/>
      <sheetName val="UDI Report"/>
      <sheetName val="Debt-Collection2000-2010 Result"/>
      <sheetName val="Debt-Collection2011-2013 Result"/>
      <sheetName val="Debt- Distrib2000-2010Result"/>
      <sheetName val="Debt-Distrib2000-2010Debt-15Yrs"/>
      <sheetName val="Debt-Distrib2000-2010Debt-25Yrs"/>
      <sheetName val="Debt-Distrib2011-2013Result"/>
      <sheetName val="Debt-Water Treatment 2014 25Yrs"/>
      <sheetName val="Debt-WTP 2014Result"/>
      <sheetName val="Debt-Collection 2014 25Yrs"/>
      <sheetName val="Debt-Collection 2014 Result"/>
      <sheetName val="Debt-WWTP 2014 Debt-25Yrs"/>
      <sheetName val="Debt-WWTP 2014 Result"/>
      <sheetName val="Debt- Distribution 2014 25Yrs"/>
      <sheetName val="Debt-Distribution 2014 Result"/>
      <sheetName val="Debt- Distrib 2025 Result"/>
      <sheetName val="Debt-WTP2011-2013Result"/>
      <sheetName val="Debt-WWTP 2011-2013Result"/>
      <sheetName val="Debt-WWTP 2011-2013-25Yrs"/>
      <sheetName val="Debt-WWTP 2000-2010 Result"/>
      <sheetName val="Debt-Collection 2011-2013 25Yrs"/>
      <sheetName val="Debt-WWTP2000-2010-25Yrs"/>
      <sheetName val="Debt-Distribution2011-2013-25"/>
      <sheetName val="Summary- Rates "/>
      <sheetName val="Debt- Pine Creek, Glenmore&amp;BP"/>
      <sheetName val="Debt-Collection2025 Result"/>
      <sheetName val="Debt-Collection 2025 25Yrs"/>
      <sheetName val="Recon- Levy sufficiency 2"/>
      <sheetName val="Recon-Levy sufficiency"/>
      <sheetName val="Summary- tables OLD"/>
      <sheetName val="Billing-2014 Details"/>
      <sheetName val="Analysis"/>
      <sheetName val="2014 UDI Report"/>
      <sheetName val="2014 Agreement summary"/>
      <sheetName val="Billing- 2014 due "/>
      <sheetName val="Summary-Rates presentation"/>
      <sheetName val="Summary-Rates June 2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WWTP 2000-2010 Resultadded"/>
      <sheetName val="WWTP 2000-2010 Debt-25Yrsadded"/>
      <sheetName val="Debt-30Yrs"/>
      <sheetName val="WWTP 2011-2013Result"/>
      <sheetName val="WWTP 2011-2013Debt-25Yrs"/>
      <sheetName val="Distribution2000-2010Result"/>
      <sheetName val="Distribution2000-2010Debt-15Yrs"/>
      <sheetName val="Distribution2000-2010Debt-25Yrs"/>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WWTP 2000-2010 Resultadded"/>
      <sheetName val="WWTP 2000-2010 Debt-25Yrsadded"/>
      <sheetName val="Debt-30Yrs"/>
      <sheetName val="WWTP 2011-2013Result"/>
      <sheetName val="WWTP 2011-2013Debt-25Yrs"/>
      <sheetName val="Distribution2000-2010Result"/>
      <sheetName val="Distribution2000-2010Debt-15Yrs"/>
      <sheetName val="Distribution2000-2010Debt-25Yrs"/>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llection 2000-2010 Result"/>
      <sheetName val="Debt-5Yrs"/>
      <sheetName val="Debt-10Yrs"/>
      <sheetName val="Collection 2000-2010Debt-15Yrs"/>
      <sheetName val="Debt-20Yrs"/>
      <sheetName val="Collection 2000-2010 Debt-25Yrs"/>
      <sheetName val="Debt-30Yrs"/>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Menu"/>
      <sheetName val=".CB50Narr"/>
      <sheetName val=".CB70Narr"/>
      <sheetName val="890-101"/>
      <sheetName val="890-102"/>
      <sheetName val="891-302"/>
      <sheetName val="891-304"/>
      <sheetName val="892-290"/>
      <sheetName val="892-SER"/>
      <sheetName val="892-291"/>
      <sheetName val="892-295"/>
      <sheetName val="892-305"/>
      <sheetName val="893-292"/>
      <sheetName val="894-348"/>
      <sheetName val="894-589"/>
      <sheetName val="895-321"/>
      <sheetName val="895-SER"/>
      <sheetName val="895-322"/>
      <sheetName val="895-329"/>
      <sheetName val="895-604"/>
      <sheetName val="896-320"/>
      <sheetName val="897-352"/>
      <sheetName val="897-SER"/>
      <sheetName val="897-353"/>
      <sheetName val="897-356"/>
      <sheetName val="897-359"/>
      <sheetName val="897-362"/>
      <sheetName val="897-363"/>
      <sheetName val="897-364"/>
      <sheetName val="897-372"/>
      <sheetName val="898-357"/>
      <sheetName val="898-436"/>
      <sheetName val="899-001"/>
      <sheetName val="899-002"/>
      <sheetName val="899-003"/>
      <sheetName val="952-001"/>
      <sheetName val="952-002"/>
      <sheetName val="952-003"/>
      <sheetName val=".ProgramExpl"/>
      <sheetName val="(Template)"/>
      <sheetName val="(Ranking)"/>
      <sheetName val="(List)"/>
      <sheetName val="(FinAnal)"/>
      <sheetName val="890-000"/>
      <sheetName val="891-000"/>
      <sheetName val="892-000"/>
      <sheetName val="894-000"/>
      <sheetName val="895-000"/>
      <sheetName val="897-000"/>
      <sheetName val="899-000"/>
      <sheetName val="!WFD.2014Est.a"/>
      <sheetName val="!CYI"/>
      <sheetName val="!WFD.2015a"/>
      <sheetName val="!WFD.2015c"/>
      <sheetName val="!WFD.2015all"/>
      <sheetName val="!WFD.2019a"/>
      <sheetName val="!WFD.2019c"/>
      <sheetName val="!WFD.2019all"/>
      <sheetName val="!FinancingSummaryW"/>
      <sheetName val="!FinancingSummaryO"/>
      <sheetName val="!F_PL"/>
      <sheetName val="!CB70"/>
      <sheetName val="892-292"/>
      <sheetName val="895-320"/>
      <sheetName val="897-436"/>
      <sheetName val="!WFD.2015Bud.a"/>
      <sheetName val="!WFD.2016a"/>
      <sheetName val="!WFD.2016c"/>
      <sheetName val="!WFD.2016all"/>
      <sheetName val="!WFD.2017a"/>
      <sheetName val="!WFD.2017c"/>
      <sheetName val="!WFD.2017all"/>
      <sheetName val="!WFD.2018a"/>
      <sheetName val="!WFD.2018c"/>
      <sheetName val="!WFD.2018all"/>
      <sheetName val="!WFD.2020a"/>
      <sheetName val="!WFD.2020c"/>
      <sheetName val="!WFD.2020all"/>
      <sheetName val="!CB50"/>
      <sheetName val="!CB80"/>
      <sheetName val="!Status Report"/>
      <sheetName val="!WFD.2015Act.a"/>
      <sheetName val="!WFD.2015Es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preadsheet V2"/>
      <sheetName val="report spreadsheet V2 (3)"/>
      <sheetName val="2015 UDI Report Summary (2)"/>
      <sheetName val="2015 UDI Report Details"/>
      <sheetName val="2015 Recon- Reserves"/>
      <sheetName val="key"/>
      <sheetName val="201604 WW-WS"/>
      <sheetName val="Summary All Acct Budgeted V1"/>
      <sheetName val="Summary Revenue"/>
      <sheetName val="Summary Revenue HL"/>
      <sheetName val="Report-Revenue Budget"/>
      <sheetName val="Summary Budget Updates"/>
      <sheetName val="Land Forecast"/>
      <sheetName val="Notes"/>
      <sheetName val="AP12_Mutiple years"/>
      <sheetName val="AP12"/>
      <sheetName val="RPT- Long Range Projection"/>
      <sheetName val="RPT Reserves-Capital Deposits "/>
      <sheetName val="RPT-2011 Bylaw Owed +2017 Rev"/>
      <sheetName val="RPT- Revenue &amp; Cash Flows."/>
      <sheetName val="RPT-Developer's loan"/>
      <sheetName val="RPT-Cash Flows"/>
      <sheetName val="RPT- Revenue &amp; Cash Flows"/>
      <sheetName val="2017 DA"/>
      <sheetName val="2017 DA Monthly Total"/>
      <sheetName val="Report-Budget Vs Forecast"/>
      <sheetName val="Summary Revenue Actual"/>
      <sheetName val="Summary Revenue Actual (2)"/>
      <sheetName val="Summary Debt Forecast"/>
      <sheetName val="Summary by Utility (2)"/>
      <sheetName val="WS Other"/>
      <sheetName val="Distribution"/>
      <sheetName val="WW Other"/>
      <sheetName val="Collection"/>
      <sheetName val="Shepard Debt Sum"/>
      <sheetName val="Nose Debt Sum"/>
      <sheetName val="WWTP Debt Sum"/>
      <sheetName val="OSL Usage_DR"/>
      <sheetName val="OSL Usage_WW&amp;WS"/>
      <sheetName val="Debt Forecast- Summary"/>
      <sheetName val="Revenue Greenfield"/>
      <sheetName val="Revenue Established"/>
      <sheetName val="Corporate allocation%"/>
      <sheetName val="Input- General"/>
      <sheetName val="Input -Growth Financing "/>
      <sheetName val="Capital Exp Change"/>
      <sheetName val="Input- Capital Expenditures"/>
      <sheetName val="Input-Debt WTP"/>
      <sheetName val="Input-Debt WWTP"/>
      <sheetName val="Input- Debt WS.L"/>
      <sheetName val="Input- Debt W.L"/>
      <sheetName val="Input-Debt Shepard"/>
      <sheetName val="Shepard OLH Debt"/>
      <sheetName val="Input-Debt-Pine Creek"/>
      <sheetName val="Input-Debt Bow River"/>
      <sheetName val="Input-Debt Nose Creek"/>
      <sheetName val="Coll Debt Sum"/>
      <sheetName val="Pine Creek Debt Sum"/>
      <sheetName val="Bow River Debt Sum"/>
      <sheetName val="WTP Debt Sum"/>
      <sheetName val="WWTP-G-Debt-10y"/>
      <sheetName val="WTP-G-Debt-10y"/>
      <sheetName val="WWTP-G-Debt-25y "/>
      <sheetName val="WTP-G-Debt-25y"/>
      <sheetName val="WWTP-Red-Debt-25y"/>
      <sheetName val="Dist Debt Sum"/>
      <sheetName val="Coll-G-Debt-25y"/>
      <sheetName val="WTP-Red-Debt-10y"/>
      <sheetName val="WTP-Red-Debt-25y"/>
      <sheetName val="WWTP-Red-Debt-10y"/>
      <sheetName val="WWTP Reg Debt"/>
      <sheetName val="Dist-G-Debt-25y"/>
      <sheetName val="Coll-Red-Debt-25y"/>
      <sheetName val="WWTP Non Growth"/>
      <sheetName val="WTP Reg Debt"/>
      <sheetName val="Dist-Red-Debt-25y"/>
      <sheetName val="Coll Reg Debt"/>
      <sheetName val="WTP Non Growth"/>
      <sheetName val="Dist Reg Debt"/>
      <sheetName val="Coll Non Growth"/>
      <sheetName val="Dist Non Growth"/>
      <sheetName val="Pine Creek-G-Debt-25y"/>
      <sheetName val="Bow River-G-Debt-25y"/>
      <sheetName val="Bow River-Non Growth-Debt-25y"/>
      <sheetName val="Greenfield Revenue Budget "/>
      <sheetName val="Greenfield Revenue Actual"/>
      <sheetName val="Greenfield Revenue Variance"/>
      <sheetName val="Established Revenue Actual"/>
      <sheetName val="Established Revenue Variance"/>
      <sheetName val="Summary- Revenue (2)"/>
      <sheetName val="Cash Flow Forecats"/>
      <sheetName val="Sheet2"/>
      <sheetName val="Established Revenue Budget "/>
      <sheetName val="Opportunity Costs"/>
      <sheetName val="Revenue- Budget vs Projection"/>
      <sheetName val="Rev- Budget vs Projection V1"/>
      <sheetName val="Rev- Budget vs Projection V2"/>
      <sheetName val="Rev- Budget vs Projection V3"/>
      <sheetName val="Cash Flows Projection"/>
      <sheetName val="Input-Debt Fish Creek"/>
      <sheetName val="2016 DA"/>
      <sheetName val="Budget Details"/>
      <sheetName val="Capital Comparison"/>
      <sheetName val="Continuity Schedule Water"/>
      <sheetName val="Continuity Schedule Drainage"/>
      <sheetName val="Continuity Schedule Wastewater"/>
      <sheetName val="To Do List"/>
      <sheetName val="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WTP 2011-2013Result"/>
      <sheetName val="Debt-5Yrs"/>
      <sheetName val="Debt-10Yrs"/>
      <sheetName val="Debt-15Yrs"/>
      <sheetName val="Debt-20Yrs"/>
      <sheetName val="WWTP 2011-2013Debt-25Yrs"/>
      <sheetName val="Debt-30Yrs"/>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WTP 2011-2013Result"/>
      <sheetName val="Debt-5Yrs"/>
      <sheetName val="Debt-10Yrs"/>
      <sheetName val="Debt-15Yrs"/>
      <sheetName val="Debt-20Yrs"/>
      <sheetName val="WWTP 2011-2013Debt-25Yrs"/>
      <sheetName val="Debt-30Yrs"/>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uture Debt Summary"/>
      <sheetName val="Debt-25Yrs"/>
      <sheetName val="Sheet1"/>
      <sheetName val="Revenues"/>
      <sheetName val="Sheet4"/>
      <sheetName val="Sheet5"/>
      <sheetName val="Sheet6"/>
      <sheetName val="debentures"/>
      <sheetName val="debentur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uture Debt Summary"/>
      <sheetName val="Debt-25Yrs"/>
      <sheetName val="Sheet1"/>
      <sheetName val="Revenues"/>
      <sheetName val="Sheet4"/>
      <sheetName val="Sheet5"/>
      <sheetName val="Sheet6"/>
      <sheetName val="debentures"/>
      <sheetName val="debentur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TP 2000-2010Result added"/>
      <sheetName val="Debt-5Yrs"/>
      <sheetName val="Debt-10Yrs"/>
      <sheetName val="Debt-20Yrs"/>
      <sheetName val="WTP 2000-2010Debt-25Yrs added"/>
      <sheetName val="Debt-30Yrs"/>
      <sheetName val="WTP2000-2010Debt-15Yrs"/>
      <sheetName val="Sheet1"/>
      <sheetName val="Sheet2"/>
      <sheetName val="Sheet3"/>
    </sheetNames>
    <sheetDataSet>
      <sheetData sheetId="0"/>
      <sheetData sheetId="1"/>
      <sheetData sheetId="2"/>
      <sheetData sheetId="3"/>
      <sheetData sheetId="4"/>
      <sheetData sheetId="5" refreshError="1"/>
      <sheetData sheetId="6"/>
      <sheetData sheetId="7"/>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TP 2000-2010Result added"/>
      <sheetName val="Debt-5Yrs"/>
      <sheetName val="Debt-10Yrs"/>
      <sheetName val="Debt-20Yrs"/>
      <sheetName val="WTP 2000-2010Debt-25Yrs added"/>
      <sheetName val="Debt-30Yrs"/>
      <sheetName val="WTP2000-2010Debt-15Yrs"/>
      <sheetName val="Sheet1"/>
      <sheetName val="Sheet2"/>
      <sheetName val="Sheet3"/>
    </sheetNames>
    <sheetDataSet>
      <sheetData sheetId="0"/>
      <sheetData sheetId="1"/>
      <sheetData sheetId="2"/>
      <sheetData sheetId="3"/>
      <sheetData sheetId="4"/>
      <sheetData sheetId="5" refreshError="1"/>
      <sheetData sheetId="6"/>
      <sheetData sheetId="7"/>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Future Debt Summary"/>
      <sheetName val="Debt-25Yrs"/>
      <sheetName val="Input"/>
      <sheetName val="Sheet1"/>
      <sheetName val="Revenues"/>
      <sheetName val="Sheet4"/>
      <sheetName val="Sheet5"/>
      <sheetName val="Sheet6"/>
      <sheetName val="debentures"/>
      <sheetName val="debentures (2)"/>
    </sheetNames>
    <sheetDataSet>
      <sheetData sheetId="0" refreshError="1"/>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Future Debt Summary"/>
      <sheetName val="Debt-25Yrs"/>
      <sheetName val="Input"/>
      <sheetName val="Sheet1"/>
      <sheetName val="Revenues"/>
      <sheetName val="Sheet4"/>
      <sheetName val="Sheet5"/>
      <sheetName val="Sheet6"/>
      <sheetName val="debentures"/>
      <sheetName val="debentures (2)"/>
    </sheetNames>
    <sheetDataSet>
      <sheetData sheetId="0" refreshError="1"/>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eeds Assessment"/>
      <sheetName val="Consequence Matrix"/>
      <sheetName val="Likelihood Matrix"/>
      <sheetName val="Chart1"/>
      <sheetName val="Chart2"/>
      <sheetName val="Chart3"/>
      <sheetName val="Chart4"/>
      <sheetName val="Chart5"/>
      <sheetName val="Rating Scales"/>
      <sheetName val="Risk Distributions"/>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stribution2000-2010Result"/>
      <sheetName val="Debt-5Yrs"/>
      <sheetName val="Debt-10Yrs"/>
      <sheetName val="Distribution2000-2010Debt-15Yrs"/>
      <sheetName val="Debt-20Yrs"/>
      <sheetName val="Distribution2000-2010Debt-25Yrs"/>
      <sheetName val="Debt-30Yrs"/>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stribution2000-2010Result"/>
      <sheetName val="Debt-5Yrs"/>
      <sheetName val="Debt-10Yrs"/>
      <sheetName val="Distribution2000-2010Debt-15Yrs"/>
      <sheetName val="Debt-20Yrs"/>
      <sheetName val="Distribution2000-2010Debt-25Yrs"/>
      <sheetName val="Debt-30Yrs"/>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Bow Future 2025 Debt Summary"/>
      <sheetName val="Bow 2025 Debt-25Yrs"/>
      <sheetName val="Sheet1"/>
      <sheetName val="Revenues"/>
      <sheetName val="Sheet4"/>
      <sheetName val="Sheet5"/>
      <sheetName val="Sheet6"/>
      <sheetName val="debentures"/>
      <sheetName val="debentures (2)"/>
    </sheetNames>
    <sheetDataSet>
      <sheetData sheetId="0" refreshError="1"/>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ish 2025 Debt Summary"/>
      <sheetName val="Fish 2025 Debt-25Yrs"/>
      <sheetName val="Sheet1"/>
      <sheetName val="Revenues"/>
      <sheetName val="Sheet4"/>
      <sheetName val="Sheet5"/>
      <sheetName val="Sheet6"/>
      <sheetName val="debentures"/>
      <sheetName val="debentures (2)"/>
    </sheetNames>
    <sheetDataSet>
      <sheetData sheetId="0" refreshError="1"/>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Pine 2025 Debt Summary"/>
      <sheetName val="Pine 2025 Debt-25Yrs"/>
      <sheetName val="Sheet1"/>
      <sheetName val="Revenues"/>
      <sheetName val="Sheet4"/>
      <sheetName val="Sheet5"/>
      <sheetName val="Sheet6"/>
      <sheetName val="debentures"/>
      <sheetName val="debentures (2)"/>
    </sheetNames>
    <sheetDataSet>
      <sheetData sheetId="0" refreshError="1"/>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Nose 2013 Result"/>
      <sheetName val="Nose 2013 Debt-25Yrs"/>
      <sheetName val="Debt-5Yrs"/>
      <sheetName val="Debt-10Yrs"/>
      <sheetName val="Debt-15Yrs"/>
      <sheetName val="Debt-20Yrs"/>
      <sheetName val="Debt-30Yrs"/>
      <sheetName val="Sheet1"/>
      <sheetName val="Sheet2"/>
      <sheetName val="Sheet3"/>
    </sheetNames>
    <sheetDataSet>
      <sheetData sheetId="0"/>
      <sheetData sheetId="1"/>
      <sheetData sheetId="2" refreshError="1"/>
      <sheetData sheetId="3"/>
      <sheetData sheetId="4"/>
      <sheetData sheetId="5"/>
      <sheetData sheetId="6"/>
      <sheetData sheetId="7"/>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Nose 2013 Result"/>
      <sheetName val="Nose 2013 Debt-25Yrs"/>
      <sheetName val="Debt-5Yrs"/>
      <sheetName val="Debt-10Yrs"/>
      <sheetName val="Debt-15Yrs"/>
      <sheetName val="Debt-20Yrs"/>
      <sheetName val="Debt-30Yrs"/>
      <sheetName val="Sheet1"/>
      <sheetName val="Sheet2"/>
      <sheetName val="Sheet3"/>
    </sheetNames>
    <sheetDataSet>
      <sheetData sheetId="0"/>
      <sheetData sheetId="1"/>
      <sheetData sheetId="2" refreshError="1"/>
      <sheetData sheetId="3"/>
      <sheetData sheetId="4"/>
      <sheetData sheetId="5"/>
      <sheetData sheetId="6"/>
      <sheetData sheetId="7"/>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
      <sheetName val="Debt-5Yrs"/>
      <sheetName val="Debt-10Yrs"/>
      <sheetName val="Debt-15Yrs"/>
      <sheetName val="Debt-20Yrs"/>
      <sheetName val="Debt-25Yrs"/>
      <sheetName val="Debt-30Yrs"/>
      <sheetName val="Sheet1"/>
      <sheetName val="Sheet2"/>
      <sheetName val="Sheet3"/>
      <sheetName val="Distribution2011-2013Result"/>
      <sheetName val="Distribution2011-2013Debt-25Yrs"/>
      <sheetName val="WWTP 2011-2013Result"/>
      <sheetName val="WWTP 2011-2013Debt-25Y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
      <sheetName val="Debt-5Yrs"/>
      <sheetName val="Debt-10Yrs"/>
      <sheetName val="Debt-15Yrs"/>
      <sheetName val="Debt-20Yrs"/>
      <sheetName val="Debt-25Yrs"/>
      <sheetName val="Debt-30Yrs"/>
      <sheetName val="Sheet1"/>
      <sheetName val="Sheet2"/>
      <sheetName val="Sheet3"/>
      <sheetName val="Distribution2011-2013Result"/>
      <sheetName val="Distribution2011-2013Debt-25Yrs"/>
      <sheetName val="WWTP 2011-2013Result"/>
      <sheetName val="WWTP 2011-2013Debt-25Y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hepard -2013 Result"/>
      <sheetName val="Debt-10Yrs"/>
      <sheetName val="Shepard -2013 Debt-15Yrs"/>
      <sheetName val="Debt-20Yrs"/>
      <sheetName val="Shepard-2013 Debt-25Yrs"/>
      <sheetName val="Debt-30Yrs"/>
      <sheetName val="Debt-5Yrs"/>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2014 Summary "/>
      <sheetName val="Rcvd 2012-2014 AA"/>
      <sheetName val="2012-2014 Summary NO DRAINAGE"/>
      <sheetName val="2014 Agreements"/>
      <sheetName val="Rcvd 2012-2014 AA_NO DRAINAGE"/>
      <sheetName val="2012-2014 AA NO DRAINAGE"/>
      <sheetName val="Calculated DA Values"/>
      <sheetName val="TOOL_Agreement Sectors"/>
      <sheetName val="TOOL_LevyTypes"/>
      <sheetName val="TOOL_UID_1"/>
      <sheetName val="TOOL_UID_2"/>
      <sheetName val="TOOL_UID3"/>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Nose Result"/>
      <sheetName val="Nose Debt-25Yrs"/>
      <sheetName val="Debt-30Yrs"/>
      <sheetName val="Sheet1"/>
      <sheetName val="Sheet2"/>
      <sheetName val="Sheet3"/>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at April 30, 2014"/>
      <sheetName val="April AFE Summary"/>
      <sheetName val="Finance final upload at 26.2"/>
      <sheetName val="General Ledger"/>
      <sheetName val="Data from BC editor"/>
      <sheetName val="ID requests"/>
      <sheetName val="2015 Deferrals"/>
      <sheetName val="March 2014 requests"/>
      <sheetName val="Current Spending Plan"/>
      <sheetName val="Pre-approvals"/>
      <sheetName val="Info for M. Casey (rate model)"/>
      <sheetName val="A Hughes"/>
      <sheetName val="B Boyes"/>
      <sheetName val="F Frigo"/>
      <sheetName val="H Popoola"/>
      <sheetName val="K Martens"/>
      <sheetName val="S Eagleson"/>
      <sheetName val="SAbbott"/>
      <sheetName val="MZhang"/>
      <sheetName val="RFedato"/>
      <sheetName val="RGirling"/>
      <sheetName val="RKidd"/>
      <sheetName val="RMiller"/>
      <sheetName val="RSaini"/>
      <sheetName val="SHuber"/>
      <sheetName val="Infrastructure Delivery"/>
      <sheetName val="Dropdown choices"/>
      <sheetName val="Sheet1"/>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INCR"/>
      <sheetName val="AVGBILL"/>
      <sheetName val="RESMET"/>
      <sheetName val="histrate"/>
      <sheetName val="Chart1"/>
      <sheetName val="pop&amp;infl"/>
      <sheetName val="totwatsew"/>
      <sheetName val="Chart5"/>
      <sheetName val="Chart6"/>
      <sheetName val="sum(summary) (2)"/>
      <sheetName val="sum(summary)"/>
      <sheetName val="summary"/>
      <sheetName val="QUICK"/>
      <sheetName val="LOTU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Entry"/>
      <sheetName val="Lookup"/>
      <sheetName val="Version"/>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2"/>
      <sheetName val="RSP WTP.P1"/>
      <sheetName val="Sheet3"/>
      <sheetName val="RSP WTP.P2"/>
      <sheetName val="Water TP @2016"/>
      <sheetName val="WTP Historical + Future "/>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2"/>
      <sheetName val="MASTER WIIP"/>
      <sheetName val="WIIP with Data"/>
      <sheetName val="GL at Nov 14"/>
      <sheetName val="Sheet1"/>
    </sheetNames>
    <sheetDataSet>
      <sheetData sheetId="0"/>
      <sheetData sheetId="1"/>
      <sheetData sheetId="2"/>
      <sheetData sheetId="3"/>
      <sheetData sheetId="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AFE"/>
      <sheetName val="Master"/>
      <sheetName val="Sheet1"/>
      <sheetName val="Non-Discretionary"/>
    </sheetNames>
    <sheetDataSet>
      <sheetData sheetId="0"/>
      <sheetData sheetId="1"/>
      <sheetData sheetId="2"/>
      <sheetData sheetId="3"/>
      <sheetData sheetId="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M Estimated Spend"/>
      <sheetName val="Working Sheet for Vanessa's spr"/>
      <sheetName val="Oct AM Approved SP"/>
      <sheetName val="Dec AM Proposed SP"/>
      <sheetName val="GL as of Jan 16th for Dec 2013"/>
      <sheetName val="ID PPR Participation Report-ALL"/>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2014 Summary "/>
      <sheetName val="Rcvd 2012-2014 AA"/>
      <sheetName val="2012-2014 Summary NO DRAINAGE"/>
      <sheetName val="2014 Agreements"/>
      <sheetName val="Rcvd 2012-2014 AA_NO DRAINAGE"/>
      <sheetName val="2012-2014 AA NO DRAINAGE"/>
      <sheetName val="Calculated DA Values"/>
      <sheetName val="TOOL_Agreement Sectors"/>
      <sheetName val="TOOL_LevyTypes"/>
      <sheetName val="TOOL_UID_1"/>
      <sheetName val="TOOL_UID_2"/>
      <sheetName val="TOOL_UID3"/>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M Estimated Spend"/>
      <sheetName val="Working Sheet for Vanessa's spr"/>
      <sheetName val="Oct AM Approved SP"/>
      <sheetName val="Dec AM Proposed SP"/>
      <sheetName val="GL as of Jan 16th for Dec 2013"/>
      <sheetName val="ID PPR Participation Report-ALL"/>
    </sheetNames>
    <sheetDataSet>
      <sheetData sheetId="0"/>
      <sheetData sheetId="1"/>
      <sheetData sheetId="2"/>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eeds Assessment"/>
      <sheetName val="Severity Matrix"/>
      <sheetName val="Extent Matrix"/>
      <sheetName val="Likeihood Matrix"/>
      <sheetName val="Chart1"/>
      <sheetName val="Chart2"/>
      <sheetName val="Chart3"/>
      <sheetName val="Chart4"/>
      <sheetName val="Chart5"/>
      <sheetName val="Chart6"/>
      <sheetName val="Rating Scales"/>
      <sheetName val="Risk Distribu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Due_To_From"/>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W1"/>
      <sheetName val="W2"/>
      <sheetName val="W3"/>
      <sheetName val="W4"/>
      <sheetName val="X-1"/>
      <sheetName val="X-1-1"/>
      <sheetName val="X-1-2"/>
      <sheetName val="Total_Surplus_Deficit_Oper"/>
      <sheetName val="Trust_Funds"/>
      <sheetName val="Oblig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017 Reconciliation"/>
      <sheetName val="Cost Tr. L1017_228751"/>
      <sheetName val="Journal Entry"/>
      <sheetName val="COCGL_NVSDRILL_AP_DETAIL"/>
    </sheetNames>
    <sheetDataSet>
      <sheetData sheetId="0"/>
      <sheetData sheetId="1"/>
      <sheetData sheetId="2"/>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terest Cap 50-50"/>
      <sheetName val="Model Interest Cap 100 Conv"/>
      <sheetName val="Shepard OLHS"/>
      <sheetName val="Model"/>
      <sheetName val="Scenario"/>
      <sheetName val="New Agreement"/>
      <sheetName val="Loan Agreement"/>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ortfall"/>
      <sheetName val="current-st-25"/>
      <sheetName val="current-linear-25"/>
      <sheetName val="capacity-ST-25"/>
      <sheetName val="capacity-FC-25"/>
      <sheetName val="capacity-NC-25"/>
      <sheetName val="capacity-PC-25"/>
      <sheetName val="capacity-BR-25"/>
      <sheetName val="capacity-st shepard-25"/>
      <sheetName val="capacity2021-15"/>
      <sheetName val="capacity2024-25"/>
      <sheetName val="capacity2021-25"/>
      <sheetName val="input-general"/>
      <sheetName val="input-%"/>
      <sheetName val="input-capital"/>
      <sheetName val="input-debt-shepard"/>
      <sheetName val="input-debt-bow"/>
      <sheetName val="input-debt-nose"/>
      <sheetName val="input-debt-pine"/>
      <sheetName val="input-debt-fish"/>
      <sheetName val="input-debt-WDN-25"/>
      <sheetName val="input-debt-WCN-25"/>
      <sheetName val="input-debt-WDN-15"/>
      <sheetName val="input-debt-WCN-15"/>
      <sheetName val="OSL rate X.350"/>
      <sheetName val="Drainage model - 3.10"/>
    </sheetNames>
    <definedNames>
      <definedName name="Full_Print" refersTo="#REF!"/>
      <definedName name="Header_Row" refersTo="#REF!"/>
      <definedName name="Loan_Start"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Debt Fish Creek"/>
    </sheetNames>
    <definedNames>
      <definedName name="_2000_stmcap"/>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sheetData sheetId="1"/>
      <sheetData sheetId="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ist"/>
      <sheetName val="Affordability"/>
      <sheetName val="Graph"/>
      <sheetName val="CostBands"/>
      <sheetName val="Equivalence"/>
      <sheetName val="Conversion Tables"/>
      <sheetName val="Weighting Scale"/>
      <sheetName val="UptakeScales"/>
      <sheetName val="OriginalScale"/>
      <sheetName val="UpgradedScale"/>
      <sheetName val="7030Split"/>
      <sheetName val="Resul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May 2013"/>
      <sheetName val="AFE Jan 2013"/>
      <sheetName val="Approved"/>
      <sheetName val="Drilldown menu"/>
      <sheetName val="Data"/>
      <sheetName val="Sheet7"/>
      <sheetName val="AFE Oct 2012 (2)"/>
      <sheetName val="Sheet10"/>
      <sheetName val="General Ledger"/>
      <sheetName val="Council Approved"/>
      <sheetName val="Public Art"/>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Retail Allocation"/>
      <sheetName val="Retail Cust Alloc"/>
      <sheetName val="COS Phase-In"/>
      <sheetName val="Retail Combined Impact"/>
      <sheetName val="Rate Design"/>
      <sheetName val="Rate Summary"/>
      <sheetName val="Meter Ratios"/>
      <sheetName val="Debt &amp; Equity"/>
      <sheetName val="Regional Allocation (2015)"/>
      <sheetName val="System Assets 2018"/>
      <sheetName val="Regional Allocation (2018)"/>
      <sheetName val="Regional Rate Schedule"/>
      <sheetName val="Charts--&gt;"/>
      <sheetName val="Sheet1"/>
      <sheetName val="Sheet2"/>
      <sheetName val="Allocation"/>
      <sheetName val="COS"/>
      <sheetName val="Flow of Funds"/>
      <sheetName val="RateDesign"/>
      <sheetName val="Current Rate Schedule"/>
      <sheetName val="Wholesale Alloc Charts"/>
      <sheetName val="Sheet3"/>
      <sheetName val="Combined Impact 2015"/>
      <sheetName val="Combined Impact 2018"/>
      <sheetName val="Impact 2015-2018"/>
      <sheetName val="Pipe Si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Equity_In_Fixed_Assets"/>
      <sheetName val="Capital_Fund"/>
      <sheetName val="Total_Reserves"/>
      <sheetName val="Total_Surplus_Deficit_Oper"/>
      <sheetName val="Trust_Funds"/>
      <sheetName val="Oblig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ivot Table"/>
      <sheetName val="Sheet3"/>
    </sheetNames>
    <sheetDataSet>
      <sheetData sheetId="0" refreshError="1"/>
      <sheetData sheetId="1" refreshError="1"/>
      <sheetData sheetId="2" refreshError="1"/>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014"/>
      <sheetName val="L5025"/>
      <sheetName val="L5026"/>
      <sheetName val="L5027"/>
      <sheetName val="UEP BS_AP_DETAIL"/>
    </sheetNames>
    <sheetDataSet>
      <sheetData sheetId="0"/>
      <sheetData sheetId="1"/>
      <sheetData sheetId="2"/>
      <sheetData sheetId="3"/>
      <sheetData sheetId="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N4">
            <v>714242</v>
          </cell>
        </row>
        <row r="13">
          <cell r="N13">
            <v>500000</v>
          </cell>
          <cell r="O13">
            <v>1500000</v>
          </cell>
          <cell r="P13">
            <v>1500000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Debt &amp; Equity"/>
      <sheetName val="Regional Allocation"/>
      <sheetName val="System Assets 2018"/>
      <sheetName val="Regional Allocation (2018)"/>
      <sheetName val="Regional Rate Schedule"/>
      <sheetName val="Retail Allocation"/>
      <sheetName val="Retail Cust Alloc"/>
      <sheetName val="COS Phase-In"/>
      <sheetName val="Retail Unit Costs"/>
      <sheetName val="Retail Rate Design"/>
      <sheetName val="Retail Rate Summary"/>
      <sheetName val="Charts--&gt;"/>
      <sheetName val="Sheet1"/>
      <sheetName val="Sheet2"/>
      <sheetName val="COS"/>
      <sheetName val="Flow of Funds"/>
      <sheetName val="Wholesale Alloc Charts"/>
      <sheetName val="Send to Dave"/>
      <sheetName val="Alternative Peak Analysis"/>
      <sheetName val="Sheet3"/>
      <sheetName val="Combined Impact"/>
      <sheetName val="Pipe S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Entry"/>
      <sheetName val="Lookup"/>
      <sheetName val="Version"/>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Summary"/>
      <sheetName val="Assumptions"/>
      <sheetName val="Final Assumptions"/>
      <sheetName val="Existing Debt"/>
      <sheetName val="O&amp;M"/>
      <sheetName val="CIP Input"/>
      <sheetName val="Capital Funding"/>
      <sheetName val="Tests"/>
      <sheetName val="Funds"/>
      <sheetName val="Plant-in-Service"/>
      <sheetName val="Customer Stats"/>
      <sheetName val="Allocation"/>
      <sheetName val="CustAlloc"/>
      <sheetName val="COS Phase-In"/>
      <sheetName val="Rates Opt 1"/>
      <sheetName val="Unit Costs Opt 2"/>
      <sheetName val="RateDesign Opt 2"/>
      <sheetName val="Rates Opt 2"/>
      <sheetName val="Rates Opt 2 (5 yr)"/>
      <sheetName val="Unit Costs Opt 3-2014"/>
      <sheetName val="RateDesign Opt 3-2014"/>
      <sheetName val="Rates Opt 3-2014"/>
      <sheetName val="Unit Costs Opt 3-2015"/>
      <sheetName val="RateDesign Opt 3-2015"/>
      <sheetName val="Rates Opt 3-2015"/>
      <sheetName val="Unit Costs Opt 3-2016"/>
      <sheetName val="RateDesign Opt 3-2016"/>
      <sheetName val="Rates Opt 3-2016"/>
      <sheetName val="Unit Costs Opt 3-2017"/>
      <sheetName val="RateDesign Opt 3-2017"/>
      <sheetName val="Rates Opt 3-2017"/>
      <sheetName val="Unit Costs Opt 3-2018"/>
      <sheetName val="RateDesign Opt 3-2018"/>
      <sheetName val="Rates Opt 3-2018"/>
      <sheetName val="Rates Opt 3 (5 yr)"/>
      <sheetName val="2014 Rate Options"/>
      <sheetName val="Water Production"/>
      <sheetName val="Rev Req"/>
      <sheetName val="COS tables"/>
      <sheetName val="Not Presented--&gt;"/>
      <sheetName val="Unit Costs Opt 4"/>
      <sheetName val="RateDesign Opt 4"/>
      <sheetName val="Rates Opt 4"/>
      <sheetName val="Rates Opt 4 (5 y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persons/person.xml><?xml version="1.0" encoding="utf-8"?>
<personList xmlns="http://schemas.microsoft.com/office/spreadsheetml/2018/threadedcomments" xmlns:x="http://schemas.openxmlformats.org/spreadsheetml/2006/main">
  <person displayName="Nguyen, Helena" id="{8C27D2BE-E95B-4BD0-8D6C-C864B2B3E9F2}" userId="S::tnguyen1@calgary.ca::840bbc17-afd0-40d1-bb1c-2d19620df96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6" dT="2023-04-20T21:25:37.55" personId="{8C27D2BE-E95B-4BD0-8D6C-C864B2B3E9F2}" id="{AD0A2A57-BF43-4495-BF54-32458FE3E0BC}">
    <text>Negative net present value means there is no cost for Elbow River. The catchment has a positive balance that is carried forward.</text>
  </threadedComment>
</ThreadedComments>
</file>

<file path=xl/threadedComments/threadedComment2.xml><?xml version="1.0" encoding="utf-8"?>
<ThreadedComments xmlns="http://schemas.microsoft.com/office/spreadsheetml/2018/threadedcomments" xmlns:x="http://schemas.openxmlformats.org/spreadsheetml/2006/main">
  <threadedComment ref="B7" dT="2023-04-20T21:44:30.55" personId="{8C27D2BE-E95B-4BD0-8D6C-C864B2B3E9F2}" id="{1F770768-10EA-4517-8E56-8D3C17329AC7}">
    <text>For Water, the discount rate &amp; escalation rate will be the same as Non-Residential Construction Price Index (CPI), forecasted by The City's Treasury group. The expected cost cashflows already include both principals &amp; interests, so discount rate doesn't have to include borrowing/investment rates component and can be set the same as escalation rate.</text>
  </threadedComment>
  <threadedComment ref="AN10" dT="2023-04-27T20:34:09.85" personId="{8C27D2BE-E95B-4BD0-8D6C-C864B2B3E9F2}" id="{BD597F12-74FC-4FBC-B9B0-C71CB47F94B2}">
    <text>Capacity is exhausted before principal and interest costs are fully paid off.</text>
  </threadedComment>
  <threadedComment ref="O18" dT="2023-04-27T19:23:45.21" personId="{8C27D2BE-E95B-4BD0-8D6C-C864B2B3E9F2}" id="{BD64AD18-23DD-47F7-B64F-71FF476CBD36}">
    <text>Estimated surplus reducing future cost so it's negative in the model.</text>
  </threadedComment>
</ThreadedComments>
</file>

<file path=xl/threadedComments/threadedComment3.xml><?xml version="1.0" encoding="utf-8"?>
<ThreadedComments xmlns="http://schemas.microsoft.com/office/spreadsheetml/2018/threadedcomments" xmlns:x="http://schemas.openxmlformats.org/spreadsheetml/2006/main">
  <threadedComment ref="B7" dT="2023-04-20T21:44:19.72" personId="{8C27D2BE-E95B-4BD0-8D6C-C864B2B3E9F2}" id="{90F8E713-112F-48C4-B9EB-BD15DBFA880B}">
    <text xml:space="preserve">For Water, the discount rate &amp; escalation rate will be the same as Non-Residential Construction Price Index (CPI) for Calgary, forecasted by The City's Treasury group. The expected cost cashflows already include both principals &amp; interests, so discount rate doesn't have to include borrowing/investment rates component and can be set the same as escalation rate. </text>
  </threadedComment>
  <threadedComment ref="AQ10" dT="2023-04-27T19:31:37.83" personId="{8C27D2BE-E95B-4BD0-8D6C-C864B2B3E9F2}" id="{D363BB4C-AC78-4236-888C-40FC2DC77C49}">
    <text>Capacity is exhausted after principal and interest costs are fully paid off.</text>
  </threadedComment>
  <threadedComment ref="O35" dT="2023-04-27T19:28:03.62" personId="{8C27D2BE-E95B-4BD0-8D6C-C864B2B3E9F2}" id="{9878B7E5-1F35-4241-B56F-65F5A941189F}">
    <text>Estimated surplus reducing future cost so it's negative in the model.</text>
  </threadedComment>
  <threadedComment ref="O36" dT="2023-04-27T19:28:11.56" personId="{8C27D2BE-E95B-4BD0-8D6C-C864B2B3E9F2}" id="{716A0023-1678-479A-A824-990886174000}">
    <text>Estimated surplus reducing future cost so it's negative in the model.</text>
  </threadedComment>
  <threadedComment ref="O37" dT="2023-04-27T19:29:10.58" personId="{8C27D2BE-E95B-4BD0-8D6C-C864B2B3E9F2}" id="{9112D283-1670-4DFD-A500-A6ED4F3FA469}">
    <text>Estimated shortfall increases cost so it's positive in the model.</text>
  </threadedComment>
  <threadedComment ref="O38" dT="2023-04-27T19:28:17.27" personId="{8C27D2BE-E95B-4BD0-8D6C-C864B2B3E9F2}" id="{BBBDB99D-3D06-45B3-8225-7B7C0327F874}">
    <text>Estimated surplus reducing future cost so it's negative in the model.</text>
  </threadedComment>
  <threadedComment ref="O39" dT="2023-04-27T19:28:21.73" personId="{8C27D2BE-E95B-4BD0-8D6C-C864B2B3E9F2}" id="{584FC524-30F7-40E4-99B8-E83CED27B893}">
    <text>Estimated surplus reducing future cost so it's negative in the model.</text>
  </threadedComment>
  <threadedComment ref="O40" dT="2023-04-27T19:28:25.62" personId="{8C27D2BE-E95B-4BD0-8D6C-C864B2B3E9F2}" id="{112598EC-C6F8-4936-8F9E-A9A9AC4E9013}">
    <text>Estimated surplus reducing future cost so it's negative in the model.</text>
  </threadedComment>
</ThreadedComments>
</file>

<file path=xl/threadedComments/threadedComment4.xml><?xml version="1.0" encoding="utf-8"?>
<ThreadedComments xmlns="http://schemas.microsoft.com/office/spreadsheetml/2018/threadedcomments" xmlns:x="http://schemas.openxmlformats.org/spreadsheetml/2006/main">
  <threadedComment ref="C1" dT="2023-04-27T19:54:17.08" personId="{8C27D2BE-E95B-4BD0-8D6C-C864B2B3E9F2}" id="{567190E4-09D9-487D-9992-E27B68254BF7}">
    <text>Cash billed or adjustment between 2016 and 2023 related to 2011 bylaw</text>
  </threadedComment>
  <threadedComment ref="K1" dT="2023-04-13T17:22:18.40" personId="{8C27D2BE-E95B-4BD0-8D6C-C864B2B3E9F2}" id="{60DB1E23-2EC2-4087-81D3-281C9F4FB84C}">
    <text>estimated</text>
  </threadedComment>
  <threadedComment ref="L1" dT="2023-04-13T17:22:25.68" personId="{8C27D2BE-E95B-4BD0-8D6C-C864B2B3E9F2}" id="{44688BB1-3EB8-42F4-AD81-4039BCE696D8}">
    <text>estimated</text>
  </threadedComment>
  <threadedComment ref="M1" dT="2023-04-13T17:22:31.49" personId="{8C27D2BE-E95B-4BD0-8D6C-C864B2B3E9F2}" id="{4AB16F85-4731-4D87-A120-537B2E060762}">
    <text>estimated</text>
  </threadedComment>
  <threadedComment ref="N1" dT="2023-04-13T17:22:37.95" personId="{8C27D2BE-E95B-4BD0-8D6C-C864B2B3E9F2}" id="{182C2C16-EEA2-479D-B516-6E537FB44544}">
    <text>estimated</text>
  </threadedComment>
  <threadedComment ref="A9" dT="2023-04-20T21:38:05.35" personId="{8C27D2BE-E95B-4BD0-8D6C-C864B2B3E9F2}" id="{15C751CD-EB0E-4D5C-98A7-004B0F572374}">
    <text>Updated April 5, 2023</text>
  </threadedComment>
  <threadedComment ref="A22" dT="2023-04-26T17:17:45.03" personId="{8C27D2BE-E95B-4BD0-8D6C-C864B2B3E9F2}" id="{8B66E463-B37F-4F9B-9C09-D38974F30DF7}">
    <text>Manual adjustment in formula is mainly for cash prepayment DOEs, no DA was signed.</text>
  </threadedComment>
  <threadedComment ref="L22" dT="2023-04-20T21:41:04.38" personId="{8C27D2BE-E95B-4BD0-8D6C-C864B2B3E9F2}" id="{C52D7362-695D-470F-9724-39E082FA5A57}">
    <text>Amount in past year's columns assume cash collections occur in same year as DA signed, therefore these amounts back-out what has not yet been collected due to the delayed payment schedule. This is why it's negative.</text>
  </threadedComment>
  <threadedComment ref="M22" dT="2023-04-20T21:41:40.28" personId="{8C27D2BE-E95B-4BD0-8D6C-C864B2B3E9F2}" id="{82E328DF-87C2-457B-B492-B0EC36918284}">
    <text>Amount in past year's columns assume cash collections occur in same year as DA signed, therefore these amounts back-out what has not yet been collected due to the delayed payment schedule. This is why it's negative.</text>
  </threadedComment>
  <threadedComment ref="N26" dT="2023-04-20T21:42:50.72" personId="{8C27D2BE-E95B-4BD0-8D6C-C864B2B3E9F2}" id="{0789404E-8048-47CD-BF5E-26C2A0629D2F}">
    <text>Forecasted FY2023 OSL Annual Report</text>
  </threadedComment>
  <threadedComment ref="A39" dT="2023-04-26T17:17:45.03" personId="{8C27D2BE-E95B-4BD0-8D6C-C864B2B3E9F2}" id="{E424953E-0CCA-43C9-A707-6BAA9D4DE0A7}">
    <text>Manual adjustment in formula is mainly for cash prepayment DOEs, no DA was signed.</text>
  </threadedComment>
  <threadedComment ref="L39" dT="2023-04-20T21:41:57.04" personId="{8C27D2BE-E95B-4BD0-8D6C-C864B2B3E9F2}" id="{3132C381-118A-4AE8-98A4-6F221BFEC8E4}">
    <text>Amount in past year's columns assume cash collections occur in same year as DA signed, therefore these amounts back-out what has not yet been collected due to the delayed payment schedule. This is why it's negative.</text>
  </threadedComment>
  <threadedComment ref="M39" dT="2023-04-20T21:42:01.67" personId="{8C27D2BE-E95B-4BD0-8D6C-C864B2B3E9F2}" id="{5D90EA26-9782-47E9-A270-203409EFBA89}">
    <text>Amount in past year's columns assume cash collections occur in same year as DA signed, therefore these amounts back-out what has not yet been collected due to the delayed payment schedule. This is why it's negative.</text>
  </threadedComment>
  <threadedComment ref="N43" dT="2023-04-20T21:42:56.87" personId="{8C27D2BE-E95B-4BD0-8D6C-C864B2B3E9F2}" id="{C820E40C-5B4D-4CA4-B579-FA6C9F97D883}">
    <text>Forecasted FY2023 OSL Annual Report</text>
  </threadedComment>
  <threadedComment ref="A56" dT="2023-04-26T17:17:45.03" personId="{8C27D2BE-E95B-4BD0-8D6C-C864B2B3E9F2}" id="{73A7CD67-0E7A-4C51-A752-2CAC1E9B65D2}">
    <text>Manual adjustment in formula is mainly for cash prepayment DOEs, no DA was signed.</text>
  </threadedComment>
  <threadedComment ref="L56" dT="2023-04-20T21:42:07.45" personId="{8C27D2BE-E95B-4BD0-8D6C-C864B2B3E9F2}" id="{84EC6BA1-FEE9-43EE-8B9B-D61147A946F0}">
    <text>Amount in past year's columns assume cash collections occur in same year as DA signed, therefore these amounts back-out what has not yet been collected due to the delayed payment schedule. This is why it's negative.</text>
  </threadedComment>
  <threadedComment ref="M56" dT="2023-04-20T21:42:11.93" personId="{8C27D2BE-E95B-4BD0-8D6C-C864B2B3E9F2}" id="{6B952FCA-C079-4AD8-B239-188739723593}">
    <text>Amount in past year's columns assume cash collections occur in same year as DA signed, therefore these amounts back-out what has not yet been collected due to the delayed payment schedule. This is why it's negative.</text>
  </threadedComment>
  <threadedComment ref="N60" dT="2023-04-20T21:43:02.83" personId="{8C27D2BE-E95B-4BD0-8D6C-C864B2B3E9F2}" id="{023D03C6-5DAB-47C5-BA00-EA3AC9324EBB}">
    <text>Forecasted FY2023 OSL Annual Report</text>
  </threadedComment>
  <threadedComment ref="A73" dT="2023-04-26T17:17:45.03" personId="{8C27D2BE-E95B-4BD0-8D6C-C864B2B3E9F2}" id="{B9A67EE2-BA95-44DD-B8C8-47C89F6EA62B}">
    <text>Manual adjustment in formula is mainly for cash prepayment DOEs, no DA was signed.</text>
  </threadedComment>
  <threadedComment ref="L73" dT="2023-04-20T21:42:17.25" personId="{8C27D2BE-E95B-4BD0-8D6C-C864B2B3E9F2}" id="{8EBE1E72-7550-4CAE-A975-14A43C81F7B6}">
    <text>Amount in past year's columns assume cash collections occur in same year as DA signed, therefore these amounts back-out what has not yet been collected due to the delayed payment schedule. This is why it's negative.</text>
  </threadedComment>
  <threadedComment ref="M73" dT="2023-04-20T21:42:21.76" personId="{8C27D2BE-E95B-4BD0-8D6C-C864B2B3E9F2}" id="{627171A5-7CAC-4490-9472-1F70D9592125}">
    <text>Amount in past year's columns assume cash collections occur in same year as DA signed, therefore these amounts back-out what has not yet been collected due to the delayed payment schedule. This is why it's negative.</text>
  </threadedComment>
  <threadedComment ref="N77" dT="2023-04-20T21:43:07.48" personId="{8C27D2BE-E95B-4BD0-8D6C-C864B2B3E9F2}" id="{E89548F4-0025-4900-B053-7CF65B7EE9E4}">
    <text>Forecasted FY2023 OSL Annual Report</text>
  </threadedComment>
  <threadedComment ref="A90" dT="2023-04-26T17:17:45.03" personId="{8C27D2BE-E95B-4BD0-8D6C-C864B2B3E9F2}" id="{5B7C3512-7EBF-4ED0-B2C4-2DBCF4ADA1DE}">
    <text>Manual adjustment in formula is mainly for cash prepayment DOEs, no DA was signed.</text>
  </threadedComment>
  <threadedComment ref="L90" dT="2023-04-20T21:42:27.25" personId="{8C27D2BE-E95B-4BD0-8D6C-C864B2B3E9F2}" id="{E7972A76-6B3D-4C9F-A21E-2D86DD2A02EE}">
    <text>Amount in past year's columns assume cash collections occur in same year as DA signed, therefore these amounts back-out what has not yet been collected due to the delayed payment schedule. This is why it's negative.</text>
  </threadedComment>
  <threadedComment ref="M90" dT="2023-04-20T21:42:31.94" personId="{8C27D2BE-E95B-4BD0-8D6C-C864B2B3E9F2}" id="{66AF35D8-F169-442E-B7D1-06FF875B9416}">
    <text>Amount in past year's columns assume cash collections occur in same year as DA signed, therefore these amounts back-out what has not yet been collected due to the delayed payment schedule. This is why it's negative.</text>
  </threadedComment>
  <threadedComment ref="N94" dT="2023-04-20T21:43:13.00" personId="{8C27D2BE-E95B-4BD0-8D6C-C864B2B3E9F2}" id="{6925A3AC-2C15-4F9D-B691-425AD3401AEC}">
    <text>Forecasted FY2023 OSL Annual Report</text>
  </threadedComment>
  <threadedComment ref="N102" dT="2023-04-20T21:43:17.79" personId="{8C27D2BE-E95B-4BD0-8D6C-C864B2B3E9F2}" id="{F6A24A30-7C27-422E-A847-41B81299E8BB}">
    <text>Forecasted FY2023 OSL Annual Report</text>
  </threadedComment>
</ThreadedComments>
</file>

<file path=xl/threadedComments/threadedComment5.xml><?xml version="1.0" encoding="utf-8"?>
<ThreadedComments xmlns="http://schemas.microsoft.com/office/spreadsheetml/2018/threadedcomments" xmlns:x="http://schemas.openxmlformats.org/spreadsheetml/2006/main">
  <threadedComment ref="D1" dT="2023-04-27T20:08:00.13" personId="{8C27D2BE-E95B-4BD0-8D6C-C864B2B3E9F2}" id="{6FC20ABE-0F4B-4F64-9E64-72568548993F}">
    <text>Recent years 2020-2022 has more weight when estimating the catchment percentage.</text>
  </threadedComment>
  <threadedComment ref="R1" dT="2023-05-04T16:00:59.52" personId="{8C27D2BE-E95B-4BD0-8D6C-C864B2B3E9F2}" id="{6D0D41E0-6A2B-4B03-B5BB-7B2A937FDC4B}">
    <text>Historical land absorption % is applicable for short term only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acfa.gov.ab.ca/loan-form-script/rates.html"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 Id="rId4" Type="http://schemas.microsoft.com/office/2017/10/relationships/threadedComment" Target="../threadedComments/threadedComment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0E5A2-4E3F-438A-9C00-F36C70654614}">
  <sheetPr>
    <pageSetUpPr fitToPage="1"/>
  </sheetPr>
  <dimension ref="A1:K18"/>
  <sheetViews>
    <sheetView zoomScaleNormal="100" workbookViewId="0">
      <selection activeCell="A2" sqref="A2:C2"/>
    </sheetView>
  </sheetViews>
  <sheetFormatPr defaultColWidth="9.21875" defaultRowHeight="18" x14ac:dyDescent="0.35"/>
  <cols>
    <col min="1" max="1" width="14" style="245" customWidth="1"/>
    <col min="2" max="2" width="21.44140625" style="245" customWidth="1"/>
    <col min="3" max="3" width="90.5546875" style="245" customWidth="1"/>
    <col min="4" max="16384" width="9.21875" style="245"/>
  </cols>
  <sheetData>
    <row r="1" spans="1:11" x14ac:dyDescent="0.35">
      <c r="A1" s="243" t="s">
        <v>0</v>
      </c>
      <c r="B1" s="244"/>
      <c r="C1" s="244"/>
      <c r="D1" s="244"/>
      <c r="E1" s="244"/>
      <c r="F1" s="244"/>
      <c r="G1" s="244"/>
      <c r="H1" s="244"/>
      <c r="I1" s="244"/>
      <c r="J1" s="244"/>
      <c r="K1" s="244"/>
    </row>
    <row r="2" spans="1:11" ht="143.25" customHeight="1" x14ac:dyDescent="0.35">
      <c r="A2" s="253" t="s">
        <v>1</v>
      </c>
      <c r="B2" s="253"/>
      <c r="C2" s="253"/>
      <c r="D2" s="244"/>
      <c r="E2" s="244"/>
      <c r="F2" s="244"/>
      <c r="G2" s="244"/>
      <c r="H2" s="244"/>
      <c r="I2" s="244"/>
      <c r="J2" s="244"/>
      <c r="K2" s="244"/>
    </row>
    <row r="3" spans="1:11" x14ac:dyDescent="0.35">
      <c r="A3" s="246"/>
      <c r="B3" s="246"/>
      <c r="C3" s="246"/>
      <c r="D3" s="244"/>
      <c r="E3" s="244"/>
      <c r="F3" s="244"/>
      <c r="G3" s="244"/>
      <c r="H3" s="244"/>
      <c r="I3" s="244"/>
      <c r="J3" s="244"/>
      <c r="K3" s="244"/>
    </row>
    <row r="4" spans="1:11" s="244" customFormat="1" x14ac:dyDescent="0.35">
      <c r="A4" s="247" t="s">
        <v>2</v>
      </c>
      <c r="B4" s="248"/>
      <c r="C4" s="248"/>
    </row>
    <row r="5" spans="1:11" x14ac:dyDescent="0.35">
      <c r="A5" s="249" t="s">
        <v>3</v>
      </c>
      <c r="B5" s="249" t="s">
        <v>4</v>
      </c>
      <c r="C5" s="249" t="s">
        <v>5</v>
      </c>
      <c r="E5" s="244"/>
      <c r="F5" s="244"/>
      <c r="G5" s="244"/>
      <c r="H5" s="244"/>
      <c r="I5" s="244"/>
      <c r="J5" s="244"/>
      <c r="K5" s="244"/>
    </row>
    <row r="6" spans="1:11" ht="45.75" customHeight="1" x14ac:dyDescent="0.35">
      <c r="A6" s="250" t="s">
        <v>6</v>
      </c>
      <c r="B6" s="250" t="s">
        <v>7</v>
      </c>
      <c r="C6" s="251" t="s">
        <v>8</v>
      </c>
      <c r="D6" s="244"/>
      <c r="E6" s="244"/>
      <c r="F6" s="244"/>
      <c r="G6" s="244"/>
      <c r="H6" s="244"/>
      <c r="I6" s="244"/>
      <c r="J6" s="244"/>
      <c r="K6" s="244"/>
    </row>
    <row r="7" spans="1:11" ht="45.75" customHeight="1" x14ac:dyDescent="0.35">
      <c r="A7" s="250" t="s">
        <v>9</v>
      </c>
      <c r="B7" s="250" t="s">
        <v>10</v>
      </c>
      <c r="C7" s="251" t="s">
        <v>11</v>
      </c>
      <c r="D7" s="244"/>
      <c r="E7" s="244"/>
      <c r="F7" s="244"/>
      <c r="G7" s="244"/>
      <c r="H7" s="244"/>
      <c r="I7" s="244"/>
      <c r="J7" s="244"/>
      <c r="K7" s="244"/>
    </row>
    <row r="8" spans="1:11" ht="45.75" customHeight="1" x14ac:dyDescent="0.35">
      <c r="A8" s="250" t="s">
        <v>12</v>
      </c>
      <c r="B8" s="250" t="s">
        <v>13</v>
      </c>
      <c r="C8" s="251" t="s">
        <v>14</v>
      </c>
      <c r="D8" s="244"/>
      <c r="E8" s="244"/>
      <c r="F8" s="244"/>
      <c r="G8" s="244"/>
      <c r="H8" s="244"/>
      <c r="I8" s="244"/>
      <c r="J8" s="244"/>
      <c r="K8" s="244"/>
    </row>
    <row r="9" spans="1:11" ht="45.75" customHeight="1" x14ac:dyDescent="0.35">
      <c r="A9" s="250" t="s">
        <v>15</v>
      </c>
      <c r="B9" s="250" t="s">
        <v>16</v>
      </c>
      <c r="C9" s="251" t="s">
        <v>17</v>
      </c>
      <c r="D9" s="244"/>
      <c r="E9" s="244"/>
      <c r="F9" s="244"/>
      <c r="G9" s="244"/>
      <c r="H9" s="244"/>
      <c r="I9" s="244"/>
      <c r="J9" s="244"/>
      <c r="K9" s="244"/>
    </row>
    <row r="10" spans="1:11" ht="45.75" customHeight="1" x14ac:dyDescent="0.35">
      <c r="A10" s="250" t="s">
        <v>18</v>
      </c>
      <c r="B10" s="250" t="s">
        <v>19</v>
      </c>
      <c r="C10" s="251" t="s">
        <v>20</v>
      </c>
      <c r="D10" s="244"/>
      <c r="E10" s="244"/>
      <c r="F10" s="244"/>
      <c r="G10" s="244"/>
      <c r="H10" s="244"/>
      <c r="I10" s="244"/>
      <c r="J10" s="244"/>
      <c r="K10" s="244"/>
    </row>
    <row r="11" spans="1:11" ht="45.75" customHeight="1" x14ac:dyDescent="0.35">
      <c r="A11" s="250" t="s">
        <v>21</v>
      </c>
      <c r="B11" s="250" t="s">
        <v>22</v>
      </c>
      <c r="C11" s="251" t="s">
        <v>23</v>
      </c>
      <c r="D11" s="244"/>
      <c r="E11" s="244"/>
      <c r="F11" s="244"/>
      <c r="G11" s="244"/>
      <c r="H11" s="244"/>
      <c r="I11" s="244"/>
      <c r="J11" s="244"/>
      <c r="K11" s="244"/>
    </row>
    <row r="12" spans="1:11" ht="45.75" customHeight="1" x14ac:dyDescent="0.35">
      <c r="A12" s="250" t="s">
        <v>24</v>
      </c>
      <c r="B12" s="250" t="s">
        <v>25</v>
      </c>
      <c r="C12" s="251" t="s">
        <v>26</v>
      </c>
      <c r="D12" s="244"/>
      <c r="E12" s="244"/>
      <c r="F12" s="244"/>
      <c r="G12" s="244"/>
      <c r="H12" s="244"/>
      <c r="I12" s="244"/>
      <c r="J12" s="244"/>
      <c r="K12" s="244"/>
    </row>
    <row r="13" spans="1:11" ht="45.75" customHeight="1" x14ac:dyDescent="0.35">
      <c r="A13" s="250" t="s">
        <v>27</v>
      </c>
      <c r="B13" s="250" t="s">
        <v>28</v>
      </c>
      <c r="C13" s="251" t="s">
        <v>29</v>
      </c>
      <c r="D13" s="244"/>
      <c r="E13" s="244"/>
      <c r="F13" s="244"/>
      <c r="G13" s="244"/>
      <c r="H13" s="244"/>
      <c r="I13" s="244"/>
      <c r="J13" s="244"/>
      <c r="K13" s="244"/>
    </row>
    <row r="14" spans="1:11" ht="45.75" customHeight="1" x14ac:dyDescent="0.35">
      <c r="A14" s="250" t="s">
        <v>30</v>
      </c>
      <c r="B14" s="250" t="s">
        <v>31</v>
      </c>
      <c r="C14" s="251" t="s">
        <v>32</v>
      </c>
      <c r="D14" s="244"/>
      <c r="E14" s="244"/>
      <c r="F14" s="244"/>
      <c r="G14" s="244"/>
      <c r="H14" s="244"/>
      <c r="I14" s="244"/>
      <c r="J14" s="244"/>
      <c r="K14" s="244"/>
    </row>
    <row r="15" spans="1:11" ht="45.75" customHeight="1" x14ac:dyDescent="0.35">
      <c r="A15" s="250" t="s">
        <v>33</v>
      </c>
      <c r="B15" s="250" t="s">
        <v>34</v>
      </c>
      <c r="C15" s="251" t="s">
        <v>35</v>
      </c>
      <c r="D15" s="244"/>
      <c r="E15" s="244"/>
      <c r="F15" s="244"/>
      <c r="G15" s="244"/>
      <c r="H15" s="244"/>
      <c r="I15" s="244"/>
      <c r="J15" s="244"/>
      <c r="K15" s="244"/>
    </row>
    <row r="16" spans="1:11" ht="45.75" customHeight="1" x14ac:dyDescent="0.35">
      <c r="A16" s="250" t="s">
        <v>36</v>
      </c>
      <c r="B16" s="250" t="s">
        <v>37</v>
      </c>
      <c r="C16" s="251" t="s">
        <v>38</v>
      </c>
      <c r="D16" s="244"/>
      <c r="E16" s="244"/>
      <c r="F16" s="244"/>
      <c r="G16" s="244"/>
      <c r="H16" s="244"/>
      <c r="I16" s="244"/>
      <c r="J16" s="244"/>
      <c r="K16" s="244"/>
    </row>
    <row r="17" spans="1:11" ht="45.75" customHeight="1" x14ac:dyDescent="0.35">
      <c r="A17" s="250" t="s">
        <v>39</v>
      </c>
      <c r="B17" s="250" t="s">
        <v>40</v>
      </c>
      <c r="C17" s="251" t="s">
        <v>41</v>
      </c>
      <c r="D17" s="244"/>
      <c r="E17" s="244"/>
      <c r="F17" s="244"/>
      <c r="G17" s="244"/>
      <c r="H17" s="244"/>
      <c r="I17" s="244"/>
      <c r="J17" s="244"/>
      <c r="K17" s="244"/>
    </row>
    <row r="18" spans="1:11" x14ac:dyDescent="0.35">
      <c r="A18" s="252"/>
      <c r="B18" s="252"/>
      <c r="C18" s="252"/>
    </row>
  </sheetData>
  <mergeCells count="1">
    <mergeCell ref="A2:C2"/>
  </mergeCells>
  <pageMargins left="0.7" right="0.7" top="0.75" bottom="0.75" header="0.3" footer="0.3"/>
  <pageSetup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BA2EB-D8A3-42B0-A520-F4968221957D}">
  <sheetPr>
    <pageSetUpPr fitToPage="1"/>
  </sheetPr>
  <dimension ref="A1:BJ139"/>
  <sheetViews>
    <sheetView zoomScale="80" zoomScaleNormal="80" workbookViewId="0">
      <pane xSplit="2" ySplit="2" topLeftCell="S3" activePane="bottomRight" state="frozen"/>
      <selection pane="topRight" activeCell="X98" sqref="X98"/>
      <selection pane="bottomLeft" activeCell="X98" sqref="X98"/>
      <selection pane="bottomRight" activeCell="AC22" sqref="AC22"/>
    </sheetView>
  </sheetViews>
  <sheetFormatPr defaultColWidth="9.21875" defaultRowHeight="13.2" outlineLevelRow="1" outlineLevelCol="1" x14ac:dyDescent="0.25"/>
  <cols>
    <col min="1" max="1" width="44.44140625" style="20" customWidth="1"/>
    <col min="2" max="2" width="12.77734375" style="21" customWidth="1"/>
    <col min="3" max="18" width="10.77734375" style="19" hidden="1" customWidth="1" outlineLevel="1"/>
    <col min="19" max="19" width="10.77734375" style="19" customWidth="1" collapsed="1"/>
    <col min="20" max="29" width="10.77734375" style="19" customWidth="1"/>
    <col min="30" max="61" width="10.77734375" style="19" customWidth="1" outlineLevel="1"/>
    <col min="62" max="16384" width="9.21875" style="19"/>
  </cols>
  <sheetData>
    <row r="1" spans="1:62" ht="15.6" x14ac:dyDescent="0.3">
      <c r="A1" s="110" t="s">
        <v>230</v>
      </c>
      <c r="B1" s="18" t="s">
        <v>186</v>
      </c>
      <c r="C1" s="18">
        <v>2000</v>
      </c>
      <c r="D1" s="18">
        <f>C1+1</f>
        <v>2001</v>
      </c>
      <c r="E1" s="18">
        <f t="shared" ref="E1:BI1" si="0">D1+1</f>
        <v>2002</v>
      </c>
      <c r="F1" s="18">
        <f t="shared" si="0"/>
        <v>2003</v>
      </c>
      <c r="G1" s="18">
        <f t="shared" si="0"/>
        <v>2004</v>
      </c>
      <c r="H1" s="18">
        <f>G1+1</f>
        <v>2005</v>
      </c>
      <c r="I1" s="18">
        <f t="shared" si="0"/>
        <v>2006</v>
      </c>
      <c r="J1" s="18">
        <f t="shared" si="0"/>
        <v>2007</v>
      </c>
      <c r="K1" s="18">
        <f t="shared" si="0"/>
        <v>2008</v>
      </c>
      <c r="L1" s="18">
        <f t="shared" si="0"/>
        <v>2009</v>
      </c>
      <c r="M1" s="18">
        <f t="shared" si="0"/>
        <v>2010</v>
      </c>
      <c r="N1" s="18">
        <f t="shared" si="0"/>
        <v>2011</v>
      </c>
      <c r="O1" s="18">
        <f t="shared" si="0"/>
        <v>2012</v>
      </c>
      <c r="P1" s="18">
        <f t="shared" si="0"/>
        <v>2013</v>
      </c>
      <c r="Q1" s="18">
        <f t="shared" si="0"/>
        <v>2014</v>
      </c>
      <c r="R1" s="18">
        <f t="shared" si="0"/>
        <v>2015</v>
      </c>
      <c r="S1" s="18">
        <f t="shared" si="0"/>
        <v>2016</v>
      </c>
      <c r="T1" s="18">
        <f t="shared" si="0"/>
        <v>2017</v>
      </c>
      <c r="U1" s="18">
        <f t="shared" si="0"/>
        <v>2018</v>
      </c>
      <c r="V1" s="18">
        <f t="shared" si="0"/>
        <v>2019</v>
      </c>
      <c r="W1" s="18">
        <f t="shared" si="0"/>
        <v>2020</v>
      </c>
      <c r="X1" s="18">
        <f t="shared" si="0"/>
        <v>2021</v>
      </c>
      <c r="Y1" s="18">
        <f t="shared" si="0"/>
        <v>2022</v>
      </c>
      <c r="Z1" s="18">
        <f t="shared" si="0"/>
        <v>2023</v>
      </c>
      <c r="AA1" s="18">
        <f t="shared" si="0"/>
        <v>2024</v>
      </c>
      <c r="AB1" s="18">
        <f t="shared" si="0"/>
        <v>2025</v>
      </c>
      <c r="AC1" s="18">
        <f t="shared" si="0"/>
        <v>2026</v>
      </c>
      <c r="AD1" s="18">
        <f t="shared" si="0"/>
        <v>2027</v>
      </c>
      <c r="AE1" s="18">
        <f t="shared" si="0"/>
        <v>2028</v>
      </c>
      <c r="AF1" s="18">
        <f t="shared" si="0"/>
        <v>2029</v>
      </c>
      <c r="AG1" s="18">
        <f t="shared" si="0"/>
        <v>2030</v>
      </c>
      <c r="AH1" s="18">
        <f t="shared" si="0"/>
        <v>2031</v>
      </c>
      <c r="AI1" s="18">
        <f t="shared" si="0"/>
        <v>2032</v>
      </c>
      <c r="AJ1" s="18">
        <f t="shared" si="0"/>
        <v>2033</v>
      </c>
      <c r="AK1" s="18">
        <f t="shared" si="0"/>
        <v>2034</v>
      </c>
      <c r="AL1" s="18">
        <f t="shared" si="0"/>
        <v>2035</v>
      </c>
      <c r="AM1" s="18">
        <f t="shared" si="0"/>
        <v>2036</v>
      </c>
      <c r="AN1" s="18">
        <f t="shared" si="0"/>
        <v>2037</v>
      </c>
      <c r="AO1" s="18">
        <f t="shared" si="0"/>
        <v>2038</v>
      </c>
      <c r="AP1" s="18">
        <f t="shared" si="0"/>
        <v>2039</v>
      </c>
      <c r="AQ1" s="18">
        <f t="shared" si="0"/>
        <v>2040</v>
      </c>
      <c r="AR1" s="18">
        <f t="shared" si="0"/>
        <v>2041</v>
      </c>
      <c r="AS1" s="18">
        <f t="shared" si="0"/>
        <v>2042</v>
      </c>
      <c r="AT1" s="18">
        <f t="shared" si="0"/>
        <v>2043</v>
      </c>
      <c r="AU1" s="18">
        <f t="shared" si="0"/>
        <v>2044</v>
      </c>
      <c r="AV1" s="18">
        <f t="shared" si="0"/>
        <v>2045</v>
      </c>
      <c r="AW1" s="18">
        <f t="shared" si="0"/>
        <v>2046</v>
      </c>
      <c r="AX1" s="18">
        <f t="shared" si="0"/>
        <v>2047</v>
      </c>
      <c r="AY1" s="18">
        <f t="shared" si="0"/>
        <v>2048</v>
      </c>
      <c r="AZ1" s="18">
        <f t="shared" si="0"/>
        <v>2049</v>
      </c>
      <c r="BA1" s="18">
        <f t="shared" si="0"/>
        <v>2050</v>
      </c>
      <c r="BB1" s="18">
        <f t="shared" si="0"/>
        <v>2051</v>
      </c>
      <c r="BC1" s="18">
        <f t="shared" si="0"/>
        <v>2052</v>
      </c>
      <c r="BD1" s="18">
        <f t="shared" si="0"/>
        <v>2053</v>
      </c>
      <c r="BE1" s="18">
        <f t="shared" si="0"/>
        <v>2054</v>
      </c>
      <c r="BF1" s="18">
        <f t="shared" si="0"/>
        <v>2055</v>
      </c>
      <c r="BG1" s="18">
        <f t="shared" si="0"/>
        <v>2056</v>
      </c>
      <c r="BH1" s="18">
        <f t="shared" si="0"/>
        <v>2057</v>
      </c>
      <c r="BI1" s="18">
        <f t="shared" si="0"/>
        <v>2058</v>
      </c>
      <c r="BJ1" s="111"/>
    </row>
    <row r="2" spans="1:62" ht="26.4" x14ac:dyDescent="0.25">
      <c r="A2" s="112" t="s">
        <v>207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62" ht="26.4" x14ac:dyDescent="0.25">
      <c r="A3" s="112" t="s">
        <v>208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62" x14ac:dyDescent="0.25">
      <c r="A4" s="113" t="s">
        <v>209</v>
      </c>
      <c r="B4" s="89">
        <f>SUM(C4:BB4)</f>
        <v>19951.742979999999</v>
      </c>
      <c r="C4" s="90">
        <v>0</v>
      </c>
      <c r="D4" s="90">
        <v>0</v>
      </c>
      <c r="E4" s="90">
        <v>0</v>
      </c>
      <c r="F4" s="90">
        <v>0</v>
      </c>
      <c r="G4" s="90">
        <v>0</v>
      </c>
      <c r="H4" s="90">
        <v>0</v>
      </c>
      <c r="I4" s="90">
        <v>0</v>
      </c>
      <c r="J4" s="90">
        <v>0</v>
      </c>
      <c r="K4" s="90">
        <v>0</v>
      </c>
      <c r="L4" s="90">
        <v>0</v>
      </c>
      <c r="M4" s="90">
        <v>0</v>
      </c>
      <c r="N4" s="90">
        <v>0</v>
      </c>
      <c r="O4" s="90">
        <v>13167.37875</v>
      </c>
      <c r="P4" s="90">
        <v>0</v>
      </c>
      <c r="Q4" s="90">
        <v>0</v>
      </c>
      <c r="R4" s="90">
        <v>0</v>
      </c>
      <c r="S4" s="90">
        <v>0</v>
      </c>
      <c r="T4" s="90">
        <v>0</v>
      </c>
      <c r="U4" s="90">
        <v>0</v>
      </c>
      <c r="V4" s="90">
        <v>0</v>
      </c>
      <c r="W4" s="90">
        <v>0</v>
      </c>
      <c r="X4" s="90">
        <v>0</v>
      </c>
      <c r="Y4" s="90">
        <v>1064</v>
      </c>
      <c r="Z4" s="90">
        <v>5720.3642300000001</v>
      </c>
      <c r="AA4" s="90">
        <v>0</v>
      </c>
      <c r="AB4" s="90"/>
      <c r="AC4" s="90"/>
      <c r="AD4" s="92"/>
      <c r="AE4" s="92"/>
      <c r="AF4" s="92"/>
      <c r="AG4" s="92"/>
      <c r="AH4" s="92"/>
      <c r="AI4" s="92"/>
      <c r="AJ4" s="92"/>
      <c r="AK4" s="92"/>
      <c r="AL4" s="92"/>
      <c r="AM4" s="92"/>
      <c r="AN4" s="92"/>
      <c r="AO4" s="92"/>
      <c r="AP4" s="92"/>
      <c r="AQ4" s="92"/>
      <c r="AR4" s="91"/>
      <c r="AS4" s="91"/>
      <c r="AT4" s="91"/>
    </row>
    <row r="5" spans="1:62" x14ac:dyDescent="0.25">
      <c r="A5" s="20" t="s">
        <v>210</v>
      </c>
      <c r="B5" s="89"/>
      <c r="C5" s="114"/>
      <c r="D5" s="114"/>
      <c r="E5" s="114"/>
      <c r="F5" s="114"/>
      <c r="G5" s="114"/>
      <c r="H5" s="114"/>
      <c r="I5" s="114"/>
      <c r="J5" s="114"/>
      <c r="K5" s="114"/>
      <c r="L5" s="114"/>
      <c r="M5" s="114"/>
      <c r="N5" s="114"/>
      <c r="O5" s="114" t="s">
        <v>231</v>
      </c>
      <c r="P5" s="114"/>
      <c r="Q5" s="114"/>
      <c r="R5" s="115"/>
      <c r="T5" s="115"/>
      <c r="U5" s="115"/>
      <c r="V5" s="116"/>
      <c r="Y5" s="19" t="s">
        <v>232</v>
      </c>
      <c r="Z5" s="19" t="s">
        <v>233</v>
      </c>
      <c r="AD5" s="92"/>
      <c r="AE5" s="92"/>
      <c r="AF5" s="92"/>
      <c r="AG5" s="92"/>
      <c r="AH5" s="92"/>
      <c r="AI5" s="92"/>
      <c r="AJ5" s="92"/>
      <c r="AK5" s="92"/>
      <c r="AL5" s="92"/>
      <c r="AM5" s="92"/>
      <c r="AN5" s="92"/>
      <c r="AO5" s="92"/>
      <c r="AP5" s="92"/>
      <c r="AQ5" s="92"/>
      <c r="AR5" s="91"/>
      <c r="AS5" s="91"/>
      <c r="AT5" s="91"/>
    </row>
    <row r="6" spans="1:62" x14ac:dyDescent="0.25">
      <c r="A6" s="20" t="s">
        <v>215</v>
      </c>
      <c r="B6" s="89"/>
      <c r="C6" s="90"/>
      <c r="D6" s="90"/>
      <c r="E6" s="90"/>
      <c r="F6" s="90"/>
      <c r="G6" s="90"/>
      <c r="H6" s="90"/>
      <c r="I6" s="90"/>
      <c r="J6" s="90"/>
      <c r="K6" s="90"/>
      <c r="L6" s="90"/>
      <c r="M6" s="90"/>
      <c r="N6" s="90"/>
      <c r="O6" s="90">
        <v>25</v>
      </c>
      <c r="P6" s="90"/>
      <c r="Q6" s="90"/>
      <c r="R6" s="90"/>
      <c r="T6" s="90"/>
      <c r="U6" s="90"/>
      <c r="Y6" s="19">
        <v>25</v>
      </c>
      <c r="Z6" s="19">
        <v>25</v>
      </c>
      <c r="AD6" s="92"/>
      <c r="AE6" s="92"/>
      <c r="AF6" s="92"/>
      <c r="AG6" s="92"/>
      <c r="AH6" s="92"/>
      <c r="AI6" s="92"/>
      <c r="AJ6" s="92"/>
      <c r="AK6" s="92"/>
      <c r="AL6" s="92"/>
      <c r="AM6" s="92"/>
      <c r="AN6" s="92"/>
      <c r="AO6" s="92"/>
      <c r="AP6" s="92"/>
      <c r="AQ6" s="92"/>
      <c r="AR6" s="91"/>
      <c r="AS6" s="91"/>
      <c r="AT6" s="91"/>
    </row>
    <row r="7" spans="1:62" x14ac:dyDescent="0.25">
      <c r="B7" s="89"/>
      <c r="C7" s="90"/>
      <c r="D7" s="90"/>
      <c r="E7" s="90"/>
      <c r="F7" s="90"/>
      <c r="G7" s="90"/>
      <c r="H7" s="90"/>
      <c r="I7" s="90"/>
      <c r="J7" s="90"/>
      <c r="K7" s="90"/>
      <c r="L7" s="90"/>
      <c r="M7" s="90"/>
      <c r="N7" s="90"/>
      <c r="O7" s="90"/>
      <c r="P7" s="90"/>
      <c r="Q7" s="90"/>
      <c r="R7" s="93"/>
      <c r="S7" s="93"/>
      <c r="T7" s="93"/>
      <c r="U7" s="93"/>
      <c r="V7" s="93"/>
      <c r="W7" s="93"/>
      <c r="X7" s="93"/>
      <c r="Y7" s="93"/>
      <c r="Z7" s="93"/>
      <c r="AA7" s="93"/>
      <c r="AB7" s="93"/>
      <c r="AC7" s="93"/>
      <c r="AD7" s="92"/>
      <c r="AE7" s="92"/>
      <c r="AF7" s="92"/>
      <c r="AG7" s="92"/>
      <c r="AH7" s="92"/>
      <c r="AI7" s="92"/>
      <c r="AJ7" s="92"/>
      <c r="AK7" s="92"/>
      <c r="AL7" s="92"/>
      <c r="AM7" s="92"/>
      <c r="AN7" s="92"/>
      <c r="AO7" s="92"/>
      <c r="AP7" s="92"/>
      <c r="AQ7" s="92"/>
      <c r="AR7" s="91"/>
      <c r="AS7" s="91"/>
      <c r="AT7" s="91"/>
    </row>
    <row r="8" spans="1:62" x14ac:dyDescent="0.25">
      <c r="A8" s="113" t="s">
        <v>216</v>
      </c>
      <c r="B8" s="89">
        <f>SUM(C8:BB8)</f>
        <v>13971.435919350919</v>
      </c>
      <c r="C8" s="90"/>
      <c r="D8" s="90"/>
      <c r="E8" s="90"/>
      <c r="F8" s="90"/>
      <c r="G8" s="90"/>
      <c r="H8" s="90"/>
      <c r="I8" s="90"/>
      <c r="J8" s="90"/>
      <c r="K8" s="90"/>
      <c r="L8" s="90"/>
      <c r="M8" s="90"/>
      <c r="N8" s="90"/>
      <c r="O8" s="90"/>
      <c r="P8" s="90"/>
      <c r="Q8" s="90"/>
      <c r="R8" s="90"/>
      <c r="S8" s="90"/>
      <c r="T8" s="90"/>
      <c r="U8" s="90"/>
      <c r="V8" s="90"/>
      <c r="W8" s="90"/>
      <c r="X8" s="90"/>
      <c r="Y8" s="90"/>
      <c r="Z8" s="90">
        <f>SUM('Tab 5 - Capital'!I35:P35)-SUM('Tab 7 - Nose'!S4:Z4)</f>
        <v>13420.235919350918</v>
      </c>
      <c r="AA8" s="90">
        <f>'Tab 5 - Capital'!Q35</f>
        <v>483.6</v>
      </c>
      <c r="AB8" s="90">
        <f>'Tab 5 - Capital'!R35</f>
        <v>67.600000000000009</v>
      </c>
      <c r="AC8" s="90">
        <f>'Tab 5 - Capital'!S35</f>
        <v>0</v>
      </c>
      <c r="AD8" s="90">
        <f>'Tab 5 - Capital'!T35</f>
        <v>0</v>
      </c>
      <c r="AE8" s="90">
        <f>'Tab 5 - Capital'!U35</f>
        <v>0</v>
      </c>
      <c r="AF8" s="90">
        <f>'Tab 5 - Capital'!V35</f>
        <v>0</v>
      </c>
      <c r="AG8" s="90">
        <f>'Tab 5 - Capital'!W35</f>
        <v>0</v>
      </c>
      <c r="AH8" s="90">
        <f>'Tab 5 - Capital'!X35</f>
        <v>0</v>
      </c>
      <c r="AI8" s="90">
        <f>'Tab 5 - Capital'!Y35</f>
        <v>0</v>
      </c>
      <c r="AJ8" s="90">
        <f>'Tab 5 - Capital'!Z35</f>
        <v>0</v>
      </c>
      <c r="AK8" s="90"/>
      <c r="AL8" s="90"/>
      <c r="AM8" s="90"/>
      <c r="AN8" s="90"/>
      <c r="AO8" s="90"/>
      <c r="AP8" s="90"/>
      <c r="AQ8" s="90"/>
      <c r="AR8" s="91"/>
      <c r="AS8" s="91"/>
      <c r="AT8" s="91"/>
    </row>
    <row r="9" spans="1:62" x14ac:dyDescent="0.25">
      <c r="A9" s="20" t="str">
        <f>A5</f>
        <v>Interest Rate</v>
      </c>
      <c r="B9" s="89"/>
      <c r="C9" s="90"/>
      <c r="D9" s="90"/>
      <c r="E9" s="90"/>
      <c r="F9" s="90"/>
      <c r="G9" s="90"/>
      <c r="H9" s="90"/>
      <c r="I9" s="90"/>
      <c r="J9" s="90"/>
      <c r="K9" s="90"/>
      <c r="L9" s="90"/>
      <c r="M9" s="90"/>
      <c r="N9" s="90"/>
      <c r="O9" s="90"/>
      <c r="P9" s="90"/>
      <c r="Q9" s="90"/>
      <c r="R9" s="94"/>
      <c r="S9" s="94"/>
      <c r="T9" s="94"/>
      <c r="U9" s="94"/>
      <c r="V9" s="94"/>
      <c r="W9" s="94"/>
      <c r="X9" s="94"/>
      <c r="Y9" s="94"/>
      <c r="Z9" s="94">
        <f>'Tab 8 - Shepard'!Z9</f>
        <v>5.4950666666666662E-2</v>
      </c>
      <c r="AA9" s="94">
        <f>'Tab 8 - Shepard'!AA9</f>
        <v>5.1029714285714275E-2</v>
      </c>
      <c r="AB9" s="94">
        <f>'Tab 8 - Shepard'!AB9</f>
        <v>5.1126714285714282E-2</v>
      </c>
      <c r="AC9" s="94">
        <f>'Tab 8 - Shepard'!AC9</f>
        <v>5.1888714285714281E-2</v>
      </c>
      <c r="AD9" s="94">
        <f>'Tab 8 - Shepard'!AD9</f>
        <v>5.3080714285714287E-2</v>
      </c>
      <c r="AE9" s="94">
        <f>'Tab 8 - Shepard'!AE9</f>
        <v>5.4233714285714281E-2</v>
      </c>
      <c r="AF9" s="94">
        <f>'Tab 8 - Shepard'!AF9</f>
        <v>5.5004714285714275E-2</v>
      </c>
      <c r="AG9" s="94">
        <f>'Tab 8 - Shepard'!AG9</f>
        <v>5.5750714285714278E-2</v>
      </c>
      <c r="AH9" s="94">
        <f>'Tab 8 - Shepard'!AH9</f>
        <v>5.6173714285714278E-2</v>
      </c>
      <c r="AI9" s="94">
        <f>'Tab 8 - Shepard'!AI9</f>
        <v>5.6544714285714288E-2</v>
      </c>
      <c r="AJ9" s="91"/>
      <c r="AK9" s="91"/>
      <c r="AL9" s="91"/>
      <c r="AM9" s="91"/>
      <c r="AN9" s="91"/>
      <c r="AO9" s="91"/>
      <c r="AP9" s="91"/>
      <c r="AQ9" s="91"/>
      <c r="AR9" s="91"/>
      <c r="AS9" s="91"/>
      <c r="AT9" s="91"/>
    </row>
    <row r="10" spans="1:62" x14ac:dyDescent="0.25">
      <c r="A10" s="20" t="str">
        <f>A6</f>
        <v>Term (in years)</v>
      </c>
      <c r="B10" s="89"/>
      <c r="C10" s="90"/>
      <c r="D10" s="90"/>
      <c r="E10" s="90"/>
      <c r="F10" s="90"/>
      <c r="G10" s="90"/>
      <c r="H10" s="90"/>
      <c r="I10" s="90"/>
      <c r="J10" s="90"/>
      <c r="K10" s="90"/>
      <c r="L10" s="90"/>
      <c r="M10" s="90"/>
      <c r="N10" s="90"/>
      <c r="O10" s="90"/>
      <c r="P10" s="90"/>
      <c r="Q10" s="90"/>
      <c r="R10" s="93"/>
      <c r="S10" s="93"/>
      <c r="T10" s="93"/>
      <c r="U10" s="93"/>
      <c r="V10" s="93"/>
      <c r="W10" s="93"/>
      <c r="X10" s="93"/>
      <c r="Y10" s="93"/>
      <c r="Z10" s="93">
        <v>25</v>
      </c>
      <c r="AA10" s="93">
        <v>15</v>
      </c>
      <c r="AB10" s="93">
        <v>15</v>
      </c>
      <c r="AC10" s="93">
        <v>15</v>
      </c>
      <c r="AD10" s="93">
        <v>15</v>
      </c>
      <c r="AE10" s="93">
        <v>15</v>
      </c>
      <c r="AF10" s="93">
        <v>15</v>
      </c>
      <c r="AG10" s="93">
        <v>15</v>
      </c>
      <c r="AH10" s="93">
        <v>15</v>
      </c>
      <c r="AI10" s="93">
        <v>15</v>
      </c>
      <c r="AJ10" s="91"/>
      <c r="AK10" s="91"/>
      <c r="AL10" s="91"/>
      <c r="AM10" s="91"/>
      <c r="AN10" s="91"/>
      <c r="AO10" s="91"/>
      <c r="AP10" s="91"/>
      <c r="AQ10" s="91"/>
      <c r="AR10" s="91"/>
      <c r="AS10" s="91"/>
      <c r="AT10" s="91"/>
    </row>
    <row r="11" spans="1:62" x14ac:dyDescent="0.25">
      <c r="B11" s="89"/>
      <c r="C11" s="90"/>
      <c r="D11" s="90"/>
      <c r="E11" s="90"/>
      <c r="F11" s="90"/>
      <c r="G11" s="90"/>
      <c r="H11" s="90"/>
      <c r="I11" s="90"/>
      <c r="J11" s="90"/>
      <c r="K11" s="90"/>
      <c r="L11" s="90"/>
      <c r="M11" s="90"/>
      <c r="N11" s="90"/>
      <c r="O11" s="90"/>
      <c r="P11" s="90"/>
      <c r="Q11" s="90"/>
      <c r="R11" s="93"/>
      <c r="S11" s="93"/>
      <c r="T11" s="93"/>
      <c r="U11" s="93"/>
      <c r="V11" s="93"/>
      <c r="W11" s="93"/>
      <c r="X11" s="93"/>
      <c r="Y11" s="93"/>
      <c r="Z11" s="93"/>
      <c r="AA11" s="93"/>
      <c r="AB11" s="93"/>
      <c r="AC11" s="93"/>
      <c r="AD11" s="91"/>
      <c r="AE11" s="91"/>
      <c r="AF11" s="91"/>
      <c r="AG11" s="91"/>
      <c r="AH11" s="91"/>
      <c r="AI11" s="91"/>
      <c r="AJ11" s="91"/>
      <c r="AK11" s="91"/>
      <c r="AL11" s="91"/>
      <c r="AM11" s="91"/>
      <c r="AN11" s="91"/>
      <c r="AO11" s="91"/>
      <c r="AP11" s="91"/>
      <c r="AQ11" s="91"/>
      <c r="AR11" s="91"/>
      <c r="AS11" s="91"/>
      <c r="AT11" s="91"/>
    </row>
    <row r="12" spans="1:62" x14ac:dyDescent="0.25">
      <c r="B12" s="89"/>
      <c r="C12" s="90"/>
      <c r="D12" s="90"/>
      <c r="E12" s="90"/>
      <c r="F12" s="90"/>
      <c r="G12" s="90"/>
      <c r="H12" s="90"/>
      <c r="I12" s="90"/>
      <c r="J12" s="90"/>
      <c r="K12" s="90"/>
      <c r="L12" s="90"/>
      <c r="M12" s="90"/>
      <c r="N12" s="90"/>
      <c r="O12" s="90"/>
      <c r="P12" s="90"/>
      <c r="Q12" s="90"/>
      <c r="R12" s="91"/>
      <c r="S12" s="93"/>
      <c r="T12" s="93"/>
      <c r="U12" s="93"/>
      <c r="V12" s="93"/>
      <c r="W12" s="93"/>
      <c r="X12" s="93"/>
      <c r="Y12" s="93"/>
      <c r="Z12" s="93"/>
      <c r="AA12" s="93"/>
      <c r="AB12" s="93"/>
      <c r="AC12" s="93"/>
      <c r="AD12" s="91"/>
      <c r="AE12" s="91"/>
      <c r="AF12" s="91"/>
      <c r="AG12" s="91"/>
      <c r="AH12" s="91"/>
      <c r="AI12" s="91"/>
      <c r="AJ12" s="91"/>
      <c r="AK12" s="91"/>
      <c r="AL12" s="91"/>
      <c r="AM12" s="91"/>
      <c r="AN12" s="91"/>
      <c r="AO12" s="91"/>
      <c r="AP12" s="91"/>
      <c r="AQ12" s="91"/>
      <c r="AR12" s="91"/>
      <c r="AS12" s="91"/>
      <c r="AT12" s="91"/>
    </row>
    <row r="13" spans="1:62" s="91" customFormat="1" hidden="1" outlineLevel="1" x14ac:dyDescent="0.25">
      <c r="A13" s="95" t="s">
        <v>217</v>
      </c>
      <c r="B13" s="101">
        <f>SUM(C13:BB13)</f>
        <v>14231.067873345681</v>
      </c>
      <c r="C13" s="99"/>
      <c r="D13" s="99"/>
      <c r="E13" s="99"/>
      <c r="F13" s="99"/>
      <c r="G13" s="99"/>
      <c r="H13" s="105"/>
      <c r="I13" s="105"/>
      <c r="J13" s="105"/>
      <c r="K13" s="105"/>
      <c r="L13" s="105"/>
      <c r="M13" s="98"/>
      <c r="N13" s="98"/>
      <c r="O13" s="98">
        <v>173.63744781787</v>
      </c>
      <c r="P13" s="98">
        <v>266.65167351589298</v>
      </c>
      <c r="Q13" s="98">
        <v>277.11959497842099</v>
      </c>
      <c r="R13" s="99">
        <v>379.95626060349457</v>
      </c>
      <c r="S13" s="99">
        <v>388.88709986999999</v>
      </c>
      <c r="T13" s="99">
        <v>401.11023193</v>
      </c>
      <c r="U13" s="99">
        <v>413.71756348999997</v>
      </c>
      <c r="V13" s="99">
        <v>426.72116345500001</v>
      </c>
      <c r="W13" s="99">
        <v>440.13349379500005</v>
      </c>
      <c r="X13" s="99">
        <v>453.96738343499999</v>
      </c>
      <c r="Y13" s="99">
        <v>473.54678380053628</v>
      </c>
      <c r="Z13" s="99">
        <v>507.19069788879824</v>
      </c>
      <c r="AA13" s="99">
        <v>523.44138259739702</v>
      </c>
      <c r="AB13" s="99">
        <v>540.21726241254419</v>
      </c>
      <c r="AC13" s="99">
        <v>557.53554667432672</v>
      </c>
      <c r="AD13" s="99">
        <v>575.41400134601486</v>
      </c>
      <c r="AE13" s="99">
        <v>593.87097978126928</v>
      </c>
      <c r="AF13" s="99">
        <v>612.92543324464441</v>
      </c>
      <c r="AG13" s="99">
        <v>632.59696126028234</v>
      </c>
      <c r="AH13" s="99">
        <v>652.90585355954249</v>
      </c>
      <c r="AI13" s="99">
        <v>673.87301358608283</v>
      </c>
      <c r="AJ13" s="99">
        <v>695.52007058027675</v>
      </c>
      <c r="AK13" s="99">
        <v>717.86940441352908</v>
      </c>
      <c r="AL13" s="99">
        <v>740.94409518723523</v>
      </c>
      <c r="AM13" s="99">
        <v>764.76805279942414</v>
      </c>
      <c r="AN13" s="99">
        <v>789.36608936979746</v>
      </c>
      <c r="AO13" s="99">
        <v>46.500432087043045</v>
      </c>
      <c r="AP13" s="99">
        <v>48.576004837004326</v>
      </c>
      <c r="AQ13" s="99">
        <v>50.745671263903432</v>
      </c>
      <c r="AR13" s="99">
        <v>53.013754305667376</v>
      </c>
      <c r="AS13" s="99">
        <v>55.384783014624887</v>
      </c>
      <c r="AT13" s="99">
        <v>57.863495645423569</v>
      </c>
      <c r="AU13" s="99">
        <v>60.454850842031433</v>
      </c>
      <c r="AV13" s="99">
        <v>63.164038934913826</v>
      </c>
      <c r="AW13" s="99">
        <v>65.996493472708977</v>
      </c>
      <c r="AX13" s="99">
        <v>55.480807549977854</v>
      </c>
      <c r="AY13" s="99"/>
      <c r="AZ13" s="99"/>
      <c r="BA13" s="99"/>
    </row>
    <row r="14" spans="1:62" s="91" customFormat="1" hidden="1" outlineLevel="1" x14ac:dyDescent="0.25">
      <c r="A14" s="95" t="s">
        <v>218</v>
      </c>
      <c r="B14" s="101">
        <f>SUM(C14:BB14)</f>
        <v>6715.5380125320089</v>
      </c>
      <c r="C14" s="99"/>
      <c r="D14" s="99"/>
      <c r="E14" s="99"/>
      <c r="F14" s="99"/>
      <c r="G14" s="99"/>
      <c r="H14" s="105"/>
      <c r="I14" s="105"/>
      <c r="J14" s="105"/>
      <c r="K14" s="105"/>
      <c r="L14" s="105"/>
      <c r="M14" s="98"/>
      <c r="N14" s="98"/>
      <c r="O14" s="98">
        <v>210.01969106249999</v>
      </c>
      <c r="P14" s="98">
        <v>411.66260424484642</v>
      </c>
      <c r="Q14" s="98">
        <v>400.19468278231784</v>
      </c>
      <c r="R14" s="99">
        <v>388.35801715724472</v>
      </c>
      <c r="S14" s="99">
        <v>370.18190367</v>
      </c>
      <c r="T14" s="99">
        <v>357.85650346999995</v>
      </c>
      <c r="U14" s="99">
        <v>345.14368292500001</v>
      </c>
      <c r="V14" s="99">
        <v>332.03127312999999</v>
      </c>
      <c r="W14" s="99">
        <v>318.50671211500003</v>
      </c>
      <c r="X14" s="99">
        <v>304.55705900999999</v>
      </c>
      <c r="Y14" s="99">
        <v>304.45117406800006</v>
      </c>
      <c r="Z14" s="99">
        <v>321.69731306839753</v>
      </c>
      <c r="AA14" s="99">
        <v>305.31358440695209</v>
      </c>
      <c r="AB14" s="99">
        <v>288.40040866363404</v>
      </c>
      <c r="AC14" s="99">
        <v>270.94044336635449</v>
      </c>
      <c r="AD14" s="99">
        <v>252.91580062040651</v>
      </c>
      <c r="AE14" s="99">
        <v>234.30797711647006</v>
      </c>
      <c r="AF14" s="99">
        <v>215.09785353652737</v>
      </c>
      <c r="AG14" s="99">
        <v>195.26569225863153</v>
      </c>
      <c r="AH14" s="99">
        <v>174.79103464078895</v>
      </c>
      <c r="AI14" s="99">
        <v>153.65283719653701</v>
      </c>
      <c r="AJ14" s="99">
        <v>131.82927248852553</v>
      </c>
      <c r="AK14" s="99">
        <v>109.29779591174187</v>
      </c>
      <c r="AL14" s="99">
        <v>86.03515185724946</v>
      </c>
      <c r="AM14" s="99">
        <v>62.017228883316911</v>
      </c>
      <c r="AN14" s="99">
        <v>37.219166580530953</v>
      </c>
      <c r="AO14" s="99">
        <v>23.984700996859175</v>
      </c>
      <c r="AP14" s="99">
        <v>21.898179954926633</v>
      </c>
      <c r="AQ14" s="99">
        <v>19.717119285799264</v>
      </c>
      <c r="AR14" s="99">
        <v>17.437172733230479</v>
      </c>
      <c r="AS14" s="99">
        <v>15.053796280624891</v>
      </c>
      <c r="AT14" s="99">
        <v>12.562228355015348</v>
      </c>
      <c r="AU14" s="99">
        <v>9.9574898270629362</v>
      </c>
      <c r="AV14" s="99">
        <v>7.234367447744261</v>
      </c>
      <c r="AW14" s="99">
        <v>4.3874090716826961</v>
      </c>
      <c r="AX14" s="99">
        <v>1.5606843480886523</v>
      </c>
      <c r="AY14" s="99"/>
      <c r="AZ14" s="99"/>
      <c r="BA14" s="99"/>
    </row>
    <row r="15" spans="1:62" s="92" customFormat="1" hidden="1" outlineLevel="1" x14ac:dyDescent="0.25">
      <c r="A15" s="100"/>
      <c r="B15" s="96"/>
      <c r="C15" s="96"/>
      <c r="D15" s="96"/>
      <c r="E15" s="96"/>
      <c r="F15" s="96"/>
      <c r="G15" s="96"/>
      <c r="H15" s="97"/>
      <c r="I15" s="97"/>
      <c r="J15" s="97"/>
      <c r="K15" s="97"/>
      <c r="L15" s="97"/>
      <c r="M15" s="98"/>
      <c r="N15" s="98"/>
      <c r="O15" s="98"/>
      <c r="P15" s="98"/>
      <c r="Q15" s="98"/>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62" s="92" customFormat="1" hidden="1" outlineLevel="1" x14ac:dyDescent="0.25">
      <c r="A16" s="95" t="s">
        <v>219</v>
      </c>
      <c r="B16" s="101">
        <f>SUM(C16:BC16)</f>
        <v>5720.3642300000001</v>
      </c>
      <c r="C16" s="96"/>
      <c r="D16" s="96"/>
      <c r="E16" s="96"/>
      <c r="F16" s="96"/>
      <c r="G16" s="96"/>
      <c r="H16" s="97"/>
      <c r="I16" s="97"/>
      <c r="J16" s="97"/>
      <c r="K16" s="97"/>
      <c r="L16" s="97"/>
      <c r="M16" s="98"/>
      <c r="N16" s="98"/>
      <c r="O16" s="98"/>
      <c r="P16" s="98"/>
      <c r="Q16" s="98"/>
      <c r="R16" s="96"/>
      <c r="S16" s="96"/>
      <c r="T16" s="96"/>
      <c r="U16" s="96"/>
      <c r="V16" s="96"/>
      <c r="W16" s="96"/>
      <c r="X16" s="99"/>
      <c r="Y16" s="96"/>
      <c r="Z16" s="96">
        <f>Z4</f>
        <v>5720.3642300000001</v>
      </c>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row>
    <row r="17" spans="1:61" s="92" customFormat="1" hidden="1" outlineLevel="1" x14ac:dyDescent="0.25">
      <c r="A17" s="16" t="s">
        <v>163</v>
      </c>
      <c r="B17" s="101">
        <f>SUM(C17:BC17)</f>
        <v>5720.364230000001</v>
      </c>
      <c r="C17" s="96"/>
      <c r="D17" s="96"/>
      <c r="E17" s="96"/>
      <c r="F17" s="96"/>
      <c r="G17" s="96"/>
      <c r="H17" s="97"/>
      <c r="I17" s="97"/>
      <c r="J17" s="97"/>
      <c r="K17" s="97"/>
      <c r="L17" s="97"/>
      <c r="M17" s="98"/>
      <c r="N17" s="98"/>
      <c r="O17" s="98"/>
      <c r="P17" s="98"/>
      <c r="Q17" s="98"/>
      <c r="R17" s="96"/>
      <c r="S17" s="96"/>
      <c r="T17" s="96"/>
      <c r="U17" s="96"/>
      <c r="V17" s="96"/>
      <c r="W17" s="96"/>
      <c r="X17" s="99"/>
      <c r="Y17" s="99"/>
      <c r="Z17" s="99">
        <v>56.486585905363214</v>
      </c>
      <c r="AA17" s="99">
        <v>117.47181583158954</v>
      </c>
      <c r="AB17" s="99">
        <v>123.73600744054343</v>
      </c>
      <c r="AC17" s="99">
        <v>130.33431706260302</v>
      </c>
      <c r="AD17" s="99">
        <v>137.28453986330427</v>
      </c>
      <c r="AE17" s="99">
        <v>144.60545911896486</v>
      </c>
      <c r="AF17" s="99">
        <v>152.31684025461959</v>
      </c>
      <c r="AG17" s="99">
        <v>160.43953903218625</v>
      </c>
      <c r="AH17" s="99">
        <v>168.99546589037323</v>
      </c>
      <c r="AI17" s="99">
        <v>178.00774756683626</v>
      </c>
      <c r="AJ17" s="99">
        <v>187.50073396615974</v>
      </c>
      <c r="AK17" s="99">
        <v>197.50006381994876</v>
      </c>
      <c r="AL17" s="99">
        <v>208.03274438485676</v>
      </c>
      <c r="AM17" s="99">
        <v>219.1272405366683</v>
      </c>
      <c r="AN17" s="99">
        <v>230.81352133630804</v>
      </c>
      <c r="AO17" s="99">
        <v>243.12314851997905</v>
      </c>
      <c r="AP17" s="99">
        <v>256.08939619719001</v>
      </c>
      <c r="AQ17" s="99">
        <v>269.74727054878304</v>
      </c>
      <c r="AR17" s="99">
        <v>284.13369801509913</v>
      </c>
      <c r="AS17" s="99">
        <v>299.28752186198733</v>
      </c>
      <c r="AT17" s="99">
        <v>315.2497109729153</v>
      </c>
      <c r="AU17" s="99">
        <v>332.06336581103324</v>
      </c>
      <c r="AV17" s="99">
        <v>349.77393690931217</v>
      </c>
      <c r="AW17" s="99">
        <v>368.42926770059</v>
      </c>
      <c r="AX17" s="96">
        <v>388.07977644169989</v>
      </c>
      <c r="AY17" s="96">
        <v>201.73451501108556</v>
      </c>
      <c r="AZ17" s="96"/>
      <c r="BA17" s="96"/>
      <c r="BB17" s="96"/>
      <c r="BC17" s="96"/>
      <c r="BD17" s="96"/>
      <c r="BE17" s="96"/>
      <c r="BF17" s="96"/>
      <c r="BG17" s="96"/>
      <c r="BH17" s="96"/>
      <c r="BI17" s="96"/>
    </row>
    <row r="18" spans="1:61" s="92" customFormat="1" hidden="1" outlineLevel="1" x14ac:dyDescent="0.25">
      <c r="A18" s="16" t="s">
        <v>164</v>
      </c>
      <c r="B18" s="101">
        <f>SUM(C18:BC18)</f>
        <v>4631.8506378175207</v>
      </c>
      <c r="C18" s="96"/>
      <c r="D18" s="96"/>
      <c r="E18" s="96"/>
      <c r="F18" s="96"/>
      <c r="G18" s="96"/>
      <c r="H18" s="97"/>
      <c r="I18" s="97"/>
      <c r="J18" s="97"/>
      <c r="K18" s="97"/>
      <c r="L18" s="97"/>
      <c r="M18" s="98"/>
      <c r="N18" s="98"/>
      <c r="O18" s="98"/>
      <c r="P18" s="98"/>
      <c r="Q18" s="98"/>
      <c r="R18" s="96"/>
      <c r="S18" s="96"/>
      <c r="T18" s="96"/>
      <c r="U18" s="96"/>
      <c r="V18" s="96"/>
      <c r="W18" s="96"/>
      <c r="X18" s="99"/>
      <c r="Y18" s="99"/>
      <c r="Z18" s="99">
        <v>203.77449958094371</v>
      </c>
      <c r="AA18" s="99">
        <v>295.52071319407247</v>
      </c>
      <c r="AB18" s="99">
        <v>289.19749675586604</v>
      </c>
      <c r="AC18" s="99">
        <v>282.53700205261811</v>
      </c>
      <c r="AD18" s="99">
        <v>275.52123663654459</v>
      </c>
      <c r="AE18" s="99">
        <v>268.13125277912525</v>
      </c>
      <c r="AF18" s="99">
        <v>260.3470712070681</v>
      </c>
      <c r="AG18" s="99">
        <v>252.1476685742345</v>
      </c>
      <c r="AH18" s="99">
        <v>243.51090432962178</v>
      </c>
      <c r="AI18" s="99">
        <v>234.4134278873168</v>
      </c>
      <c r="AJ18" s="99">
        <v>224.83066266443169</v>
      </c>
      <c r="AK18" s="99">
        <v>214.73670668504866</v>
      </c>
      <c r="AL18" s="99">
        <v>204.10431944820164</v>
      </c>
      <c r="AM18" s="99">
        <v>192.9047531357659</v>
      </c>
      <c r="AN18" s="99">
        <v>181.10772291443044</v>
      </c>
      <c r="AO18" s="99">
        <v>168.68140097363363</v>
      </c>
      <c r="AP18" s="99">
        <v>155.59217086547139</v>
      </c>
      <c r="AQ18" s="99">
        <v>141.80467810864178</v>
      </c>
      <c r="AR18" s="99">
        <v>127.28166735839926</v>
      </c>
      <c r="AS18" s="99">
        <v>111.98390078439812</v>
      </c>
      <c r="AT18" s="99">
        <v>95.870028070692655</v>
      </c>
      <c r="AU18" s="99">
        <v>78.896501359590019</v>
      </c>
      <c r="AV18" s="99">
        <v>61.017469289585804</v>
      </c>
      <c r="AW18" s="99">
        <v>42.184588203253696</v>
      </c>
      <c r="AX18" s="96">
        <v>22.34696992114435</v>
      </c>
      <c r="AY18" s="96">
        <v>3.4058250374191523</v>
      </c>
      <c r="AZ18" s="96"/>
      <c r="BA18" s="96"/>
      <c r="BB18" s="96"/>
      <c r="BC18" s="96"/>
      <c r="BD18" s="96"/>
      <c r="BE18" s="96"/>
      <c r="BF18" s="96"/>
      <c r="BG18" s="96"/>
      <c r="BH18" s="96"/>
      <c r="BI18" s="96"/>
    </row>
    <row r="19" spans="1:61" s="92" customFormat="1" hidden="1" outlineLevel="1" x14ac:dyDescent="0.25">
      <c r="A19" s="16" t="s">
        <v>220</v>
      </c>
      <c r="B19" s="101">
        <f>SUM(C19:BC19)</f>
        <v>10352.21486781752</v>
      </c>
      <c r="C19" s="96"/>
      <c r="D19" s="96"/>
      <c r="E19" s="96"/>
      <c r="F19" s="96"/>
      <c r="G19" s="96"/>
      <c r="H19" s="97"/>
      <c r="I19" s="97"/>
      <c r="J19" s="97"/>
      <c r="K19" s="97"/>
      <c r="L19" s="97"/>
      <c r="M19" s="98"/>
      <c r="N19" s="98"/>
      <c r="O19" s="98"/>
      <c r="P19" s="98"/>
      <c r="Q19" s="98"/>
      <c r="R19" s="96"/>
      <c r="S19" s="96"/>
      <c r="T19" s="96"/>
      <c r="U19" s="96"/>
      <c r="V19" s="96"/>
      <c r="W19" s="96"/>
      <c r="X19" s="99"/>
      <c r="Y19" s="99"/>
      <c r="Z19" s="99">
        <f t="shared" ref="Z19:AX19" si="1">Z17+Z18</f>
        <v>260.26108548630691</v>
      </c>
      <c r="AA19" s="99">
        <f t="shared" si="1"/>
        <v>412.99252902566201</v>
      </c>
      <c r="AB19" s="99">
        <f t="shared" si="1"/>
        <v>412.93350419640944</v>
      </c>
      <c r="AC19" s="99">
        <f t="shared" si="1"/>
        <v>412.87131911522113</v>
      </c>
      <c r="AD19" s="99">
        <f t="shared" si="1"/>
        <v>412.80577649984889</v>
      </c>
      <c r="AE19" s="99">
        <f t="shared" si="1"/>
        <v>412.73671189809011</v>
      </c>
      <c r="AF19" s="99">
        <f t="shared" si="1"/>
        <v>412.66391146168769</v>
      </c>
      <c r="AG19" s="99">
        <f t="shared" si="1"/>
        <v>412.58720760642075</v>
      </c>
      <c r="AH19" s="99">
        <f t="shared" si="1"/>
        <v>412.50637021999501</v>
      </c>
      <c r="AI19" s="99">
        <f t="shared" si="1"/>
        <v>412.42117545415306</v>
      </c>
      <c r="AJ19" s="99">
        <f t="shared" si="1"/>
        <v>412.33139663059143</v>
      </c>
      <c r="AK19" s="99">
        <f t="shared" si="1"/>
        <v>412.23677050499742</v>
      </c>
      <c r="AL19" s="99">
        <f t="shared" si="1"/>
        <v>412.13706383305839</v>
      </c>
      <c r="AM19" s="99">
        <f t="shared" si="1"/>
        <v>412.03199367243417</v>
      </c>
      <c r="AN19" s="99">
        <f t="shared" si="1"/>
        <v>411.92124425073848</v>
      </c>
      <c r="AO19" s="99">
        <f t="shared" si="1"/>
        <v>411.80454949361268</v>
      </c>
      <c r="AP19" s="99">
        <f t="shared" si="1"/>
        <v>411.68156706266143</v>
      </c>
      <c r="AQ19" s="99">
        <f t="shared" si="1"/>
        <v>411.55194865742482</v>
      </c>
      <c r="AR19" s="99">
        <f t="shared" si="1"/>
        <v>411.41536537349839</v>
      </c>
      <c r="AS19" s="99">
        <f t="shared" si="1"/>
        <v>411.27142264638542</v>
      </c>
      <c r="AT19" s="99">
        <f t="shared" si="1"/>
        <v>411.11973904360798</v>
      </c>
      <c r="AU19" s="99">
        <f t="shared" si="1"/>
        <v>410.95986717062328</v>
      </c>
      <c r="AV19" s="99">
        <f t="shared" si="1"/>
        <v>410.79140619889796</v>
      </c>
      <c r="AW19" s="99">
        <f t="shared" si="1"/>
        <v>410.61385590384373</v>
      </c>
      <c r="AX19" s="99">
        <f t="shared" si="1"/>
        <v>410.42674636284426</v>
      </c>
      <c r="AY19" s="99">
        <f t="shared" ref="AY19" si="2">AY17+AY18</f>
        <v>205.14034004850473</v>
      </c>
      <c r="AZ19" s="96"/>
      <c r="BA19" s="96"/>
      <c r="BB19" s="96"/>
      <c r="BC19" s="96"/>
      <c r="BD19" s="96"/>
      <c r="BE19" s="96"/>
      <c r="BF19" s="96"/>
      <c r="BG19" s="96"/>
      <c r="BH19" s="96"/>
      <c r="BI19" s="96"/>
    </row>
    <row r="20" spans="1:61" s="92" customFormat="1" hidden="1" outlineLevel="1" x14ac:dyDescent="0.25">
      <c r="A20" s="16" t="s">
        <v>16</v>
      </c>
      <c r="B20" s="101"/>
      <c r="C20" s="96"/>
      <c r="D20" s="96"/>
      <c r="E20" s="96"/>
      <c r="F20" s="96"/>
      <c r="G20" s="96"/>
      <c r="H20" s="97"/>
      <c r="I20" s="97"/>
      <c r="J20" s="97"/>
      <c r="K20" s="97"/>
      <c r="L20" s="97"/>
      <c r="M20" s="98"/>
      <c r="N20" s="98"/>
      <c r="O20" s="98"/>
      <c r="P20" s="98"/>
      <c r="Q20" s="98"/>
      <c r="R20" s="96"/>
      <c r="S20" s="96"/>
      <c r="T20" s="96"/>
      <c r="U20" s="96"/>
      <c r="V20" s="96"/>
      <c r="W20" s="96"/>
      <c r="X20" s="99"/>
      <c r="Y20" s="99"/>
      <c r="Z20" s="99">
        <f>Z16-Z17</f>
        <v>5663.8776440946367</v>
      </c>
      <c r="AA20" s="99">
        <f t="shared" ref="AA20:AY20" si="3">Z20-AA17</f>
        <v>5546.4058282630467</v>
      </c>
      <c r="AB20" s="99">
        <f t="shared" si="3"/>
        <v>5422.6698208225034</v>
      </c>
      <c r="AC20" s="99">
        <f t="shared" si="3"/>
        <v>5292.3355037599003</v>
      </c>
      <c r="AD20" s="99">
        <f t="shared" si="3"/>
        <v>5155.0509638965959</v>
      </c>
      <c r="AE20" s="99">
        <f t="shared" si="3"/>
        <v>5010.445504777631</v>
      </c>
      <c r="AF20" s="99">
        <f t="shared" si="3"/>
        <v>4858.1286645230111</v>
      </c>
      <c r="AG20" s="99">
        <f t="shared" si="3"/>
        <v>4697.6891254908251</v>
      </c>
      <c r="AH20" s="99">
        <f t="shared" si="3"/>
        <v>4528.6936596004516</v>
      </c>
      <c r="AI20" s="99">
        <f t="shared" si="3"/>
        <v>4350.6859120336158</v>
      </c>
      <c r="AJ20" s="99">
        <f t="shared" si="3"/>
        <v>4163.185178067456</v>
      </c>
      <c r="AK20" s="99">
        <f t="shared" si="3"/>
        <v>3965.685114247507</v>
      </c>
      <c r="AL20" s="99">
        <f t="shared" si="3"/>
        <v>3757.6523698626502</v>
      </c>
      <c r="AM20" s="99">
        <f t="shared" si="3"/>
        <v>3538.5251293259817</v>
      </c>
      <c r="AN20" s="99">
        <f t="shared" si="3"/>
        <v>3307.7116079896737</v>
      </c>
      <c r="AO20" s="99">
        <f t="shared" si="3"/>
        <v>3064.5884594696945</v>
      </c>
      <c r="AP20" s="99">
        <f t="shared" si="3"/>
        <v>2808.4990632725044</v>
      </c>
      <c r="AQ20" s="99">
        <f t="shared" si="3"/>
        <v>2538.7517927237213</v>
      </c>
      <c r="AR20" s="99">
        <f t="shared" si="3"/>
        <v>2254.6180947086223</v>
      </c>
      <c r="AS20" s="99">
        <f t="shared" si="3"/>
        <v>1955.3305728466348</v>
      </c>
      <c r="AT20" s="99">
        <f t="shared" si="3"/>
        <v>1640.0808618737196</v>
      </c>
      <c r="AU20" s="99">
        <f t="shared" si="3"/>
        <v>1308.0174960626864</v>
      </c>
      <c r="AV20" s="99">
        <f t="shared" si="3"/>
        <v>958.24355915337424</v>
      </c>
      <c r="AW20" s="99">
        <f t="shared" si="3"/>
        <v>589.81429145278423</v>
      </c>
      <c r="AX20" s="99">
        <f t="shared" si="3"/>
        <v>201.73451501108434</v>
      </c>
      <c r="AY20" s="99">
        <f t="shared" si="3"/>
        <v>-1.2221335055073723E-12</v>
      </c>
      <c r="AZ20" s="96"/>
      <c r="BA20" s="96"/>
      <c r="BB20" s="96"/>
      <c r="BC20" s="96"/>
      <c r="BD20" s="96"/>
      <c r="BE20" s="96"/>
      <c r="BF20" s="96"/>
      <c r="BG20" s="96"/>
      <c r="BH20" s="96"/>
      <c r="BI20" s="96"/>
    </row>
    <row r="21" spans="1:61" s="92" customFormat="1" hidden="1" outlineLevel="1" x14ac:dyDescent="0.25">
      <c r="A21" s="100"/>
      <c r="B21" s="101"/>
      <c r="C21" s="96"/>
      <c r="D21" s="96"/>
      <c r="E21" s="96"/>
      <c r="F21" s="96"/>
      <c r="G21" s="96"/>
      <c r="H21" s="97"/>
      <c r="I21" s="97"/>
      <c r="J21" s="97"/>
      <c r="K21" s="97"/>
      <c r="L21" s="97"/>
      <c r="M21" s="98"/>
      <c r="N21" s="98"/>
      <c r="O21" s="98"/>
      <c r="P21" s="98"/>
      <c r="Q21" s="98"/>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row>
    <row r="22" spans="1:61" collapsed="1" x14ac:dyDescent="0.25">
      <c r="A22" s="21" t="s">
        <v>221</v>
      </c>
      <c r="B22" s="101">
        <f>SUM(C22:BB22)</f>
        <v>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row>
    <row r="23" spans="1:61" x14ac:dyDescent="0.25">
      <c r="A23" s="20" t="s">
        <v>222</v>
      </c>
      <c r="B23" s="101">
        <f>SUM(C23:BB23)</f>
        <v>19951.742979999999</v>
      </c>
      <c r="C23" s="102">
        <f t="shared" ref="C23:AC23" si="4">C4</f>
        <v>0</v>
      </c>
      <c r="D23" s="102">
        <f t="shared" si="4"/>
        <v>0</v>
      </c>
      <c r="E23" s="102">
        <f t="shared" si="4"/>
        <v>0</v>
      </c>
      <c r="F23" s="102">
        <f t="shared" si="4"/>
        <v>0</v>
      </c>
      <c r="G23" s="102">
        <f t="shared" si="4"/>
        <v>0</v>
      </c>
      <c r="H23" s="102">
        <f t="shared" si="4"/>
        <v>0</v>
      </c>
      <c r="I23" s="102">
        <f t="shared" si="4"/>
        <v>0</v>
      </c>
      <c r="J23" s="102">
        <f t="shared" si="4"/>
        <v>0</v>
      </c>
      <c r="K23" s="102">
        <f t="shared" si="4"/>
        <v>0</v>
      </c>
      <c r="L23" s="102">
        <f t="shared" si="4"/>
        <v>0</v>
      </c>
      <c r="M23" s="102">
        <f t="shared" si="4"/>
        <v>0</v>
      </c>
      <c r="N23" s="102">
        <f t="shared" si="4"/>
        <v>0</v>
      </c>
      <c r="O23" s="102">
        <f t="shared" si="4"/>
        <v>13167.37875</v>
      </c>
      <c r="P23" s="102">
        <f t="shared" si="4"/>
        <v>0</v>
      </c>
      <c r="Q23" s="102">
        <f t="shared" si="4"/>
        <v>0</v>
      </c>
      <c r="R23" s="102">
        <f t="shared" si="4"/>
        <v>0</v>
      </c>
      <c r="S23" s="102">
        <f t="shared" si="4"/>
        <v>0</v>
      </c>
      <c r="T23" s="102">
        <f t="shared" si="4"/>
        <v>0</v>
      </c>
      <c r="U23" s="102">
        <f t="shared" si="4"/>
        <v>0</v>
      </c>
      <c r="V23" s="102">
        <f t="shared" si="4"/>
        <v>0</v>
      </c>
      <c r="W23" s="102">
        <f t="shared" si="4"/>
        <v>0</v>
      </c>
      <c r="X23" s="102">
        <f t="shared" si="4"/>
        <v>0</v>
      </c>
      <c r="Y23" s="102">
        <f t="shared" si="4"/>
        <v>1064</v>
      </c>
      <c r="Z23" s="102">
        <f t="shared" si="4"/>
        <v>5720.3642300000001</v>
      </c>
      <c r="AA23" s="102">
        <f t="shared" si="4"/>
        <v>0</v>
      </c>
      <c r="AB23" s="102">
        <f t="shared" si="4"/>
        <v>0</v>
      </c>
      <c r="AC23" s="102">
        <f t="shared" si="4"/>
        <v>0</v>
      </c>
      <c r="AD23" s="102">
        <f t="shared" ref="AD23:BD23" si="5">+AD4</f>
        <v>0</v>
      </c>
      <c r="AE23" s="102">
        <f t="shared" si="5"/>
        <v>0</v>
      </c>
      <c r="AF23" s="102">
        <f t="shared" si="5"/>
        <v>0</v>
      </c>
      <c r="AG23" s="102">
        <f t="shared" si="5"/>
        <v>0</v>
      </c>
      <c r="AH23" s="102">
        <f t="shared" si="5"/>
        <v>0</v>
      </c>
      <c r="AI23" s="102">
        <f t="shared" si="5"/>
        <v>0</v>
      </c>
      <c r="AJ23" s="102">
        <f t="shared" si="5"/>
        <v>0</v>
      </c>
      <c r="AK23" s="102">
        <f t="shared" si="5"/>
        <v>0</v>
      </c>
      <c r="AL23" s="102">
        <f t="shared" si="5"/>
        <v>0</v>
      </c>
      <c r="AM23" s="102">
        <f t="shared" si="5"/>
        <v>0</v>
      </c>
      <c r="AN23" s="102">
        <f t="shared" si="5"/>
        <v>0</v>
      </c>
      <c r="AO23" s="102">
        <f t="shared" si="5"/>
        <v>0</v>
      </c>
      <c r="AP23" s="102">
        <f t="shared" si="5"/>
        <v>0</v>
      </c>
      <c r="AQ23" s="102">
        <f t="shared" si="5"/>
        <v>0</v>
      </c>
      <c r="AR23" s="102">
        <f t="shared" si="5"/>
        <v>0</v>
      </c>
      <c r="AS23" s="102">
        <f t="shared" si="5"/>
        <v>0</v>
      </c>
      <c r="AT23" s="102">
        <f t="shared" si="5"/>
        <v>0</v>
      </c>
      <c r="AU23" s="102">
        <f t="shared" si="5"/>
        <v>0</v>
      </c>
      <c r="AV23" s="102">
        <f t="shared" si="5"/>
        <v>0</v>
      </c>
      <c r="AW23" s="102">
        <f t="shared" si="5"/>
        <v>0</v>
      </c>
      <c r="AX23" s="102">
        <f t="shared" si="5"/>
        <v>0</v>
      </c>
      <c r="AY23" s="102">
        <f t="shared" si="5"/>
        <v>0</v>
      </c>
      <c r="AZ23" s="102">
        <f t="shared" si="5"/>
        <v>0</v>
      </c>
      <c r="BA23" s="102">
        <f t="shared" si="5"/>
        <v>0</v>
      </c>
      <c r="BB23" s="102">
        <f t="shared" si="5"/>
        <v>0</v>
      </c>
      <c r="BC23" s="102">
        <f t="shared" si="5"/>
        <v>0</v>
      </c>
      <c r="BD23" s="102">
        <f t="shared" si="5"/>
        <v>0</v>
      </c>
      <c r="BE23" s="102"/>
      <c r="BF23" s="102"/>
      <c r="BG23" s="102"/>
      <c r="BH23" s="102"/>
      <c r="BI23" s="102"/>
    </row>
    <row r="24" spans="1:61" s="17" customFormat="1" x14ac:dyDescent="0.25">
      <c r="A24" s="16" t="s">
        <v>223</v>
      </c>
      <c r="B24" s="101">
        <f>SUM(C24:BB24)</f>
        <v>19951.432103345669</v>
      </c>
      <c r="C24" s="102">
        <f t="shared" ref="C24:Y25" si="6">+C17+C13</f>
        <v>0</v>
      </c>
      <c r="D24" s="102">
        <f t="shared" si="6"/>
        <v>0</v>
      </c>
      <c r="E24" s="102">
        <f t="shared" si="6"/>
        <v>0</v>
      </c>
      <c r="F24" s="102">
        <f t="shared" si="6"/>
        <v>0</v>
      </c>
      <c r="G24" s="102">
        <f t="shared" si="6"/>
        <v>0</v>
      </c>
      <c r="H24" s="102">
        <f t="shared" si="6"/>
        <v>0</v>
      </c>
      <c r="I24" s="102">
        <f>+I17+I13</f>
        <v>0</v>
      </c>
      <c r="J24" s="102">
        <f t="shared" si="6"/>
        <v>0</v>
      </c>
      <c r="K24" s="102">
        <f t="shared" si="6"/>
        <v>0</v>
      </c>
      <c r="L24" s="102">
        <f t="shared" si="6"/>
        <v>0</v>
      </c>
      <c r="M24" s="102">
        <f t="shared" si="6"/>
        <v>0</v>
      </c>
      <c r="N24" s="102">
        <f t="shared" si="6"/>
        <v>0</v>
      </c>
      <c r="O24" s="102">
        <f t="shared" si="6"/>
        <v>173.63744781787</v>
      </c>
      <c r="P24" s="102">
        <f t="shared" si="6"/>
        <v>266.65167351589298</v>
      </c>
      <c r="Q24" s="102">
        <f t="shared" si="6"/>
        <v>277.11959497842099</v>
      </c>
      <c r="R24" s="102">
        <f t="shared" si="6"/>
        <v>379.95626060349457</v>
      </c>
      <c r="S24" s="102">
        <f t="shared" si="6"/>
        <v>388.88709986999999</v>
      </c>
      <c r="T24" s="102">
        <f t="shared" si="6"/>
        <v>401.11023193</v>
      </c>
      <c r="U24" s="102">
        <f t="shared" si="6"/>
        <v>413.71756348999997</v>
      </c>
      <c r="V24" s="102">
        <f t="shared" si="6"/>
        <v>426.72116345500001</v>
      </c>
      <c r="W24" s="102">
        <f t="shared" si="6"/>
        <v>440.13349379500005</v>
      </c>
      <c r="X24" s="102">
        <f t="shared" si="6"/>
        <v>453.96738343499999</v>
      </c>
      <c r="Y24" s="102">
        <f t="shared" si="6"/>
        <v>473.54678380053628</v>
      </c>
      <c r="Z24" s="102">
        <f t="shared" ref="Z24:BD24" si="7">+Z17+Z13</f>
        <v>563.67728379416144</v>
      </c>
      <c r="AA24" s="102">
        <f t="shared" si="7"/>
        <v>640.91319842898656</v>
      </c>
      <c r="AB24" s="102">
        <f t="shared" si="7"/>
        <v>663.95326985308759</v>
      </c>
      <c r="AC24" s="102">
        <f t="shared" si="7"/>
        <v>687.8698637369298</v>
      </c>
      <c r="AD24" s="102">
        <f t="shared" si="7"/>
        <v>712.69854120931916</v>
      </c>
      <c r="AE24" s="102">
        <f t="shared" si="7"/>
        <v>738.47643890023414</v>
      </c>
      <c r="AF24" s="102">
        <f t="shared" si="7"/>
        <v>765.242273499264</v>
      </c>
      <c r="AG24" s="102">
        <f t="shared" si="7"/>
        <v>793.03650029246865</v>
      </c>
      <c r="AH24" s="102">
        <f t="shared" si="7"/>
        <v>821.90131944991572</v>
      </c>
      <c r="AI24" s="102">
        <f t="shared" si="7"/>
        <v>851.88076115291915</v>
      </c>
      <c r="AJ24" s="102">
        <f t="shared" si="7"/>
        <v>883.02080454643647</v>
      </c>
      <c r="AK24" s="102">
        <f t="shared" si="7"/>
        <v>915.36946823347785</v>
      </c>
      <c r="AL24" s="102">
        <f t="shared" si="7"/>
        <v>948.97683957209199</v>
      </c>
      <c r="AM24" s="102">
        <f t="shared" si="7"/>
        <v>983.89529333609244</v>
      </c>
      <c r="AN24" s="102">
        <f t="shared" si="7"/>
        <v>1020.1796107061054</v>
      </c>
      <c r="AO24" s="102">
        <f t="shared" si="7"/>
        <v>289.62358060702212</v>
      </c>
      <c r="AP24" s="102">
        <f t="shared" si="7"/>
        <v>304.66540103419436</v>
      </c>
      <c r="AQ24" s="102">
        <f t="shared" si="7"/>
        <v>320.49294181268647</v>
      </c>
      <c r="AR24" s="102">
        <f t="shared" si="7"/>
        <v>337.14745232076649</v>
      </c>
      <c r="AS24" s="102">
        <f t="shared" si="7"/>
        <v>354.6723048766122</v>
      </c>
      <c r="AT24" s="102">
        <f t="shared" si="7"/>
        <v>373.11320661833884</v>
      </c>
      <c r="AU24" s="102">
        <f t="shared" si="7"/>
        <v>392.51821665306466</v>
      </c>
      <c r="AV24" s="102">
        <f t="shared" si="7"/>
        <v>412.937975844226</v>
      </c>
      <c r="AW24" s="102">
        <f t="shared" si="7"/>
        <v>434.42576117329895</v>
      </c>
      <c r="AX24" s="102">
        <f t="shared" si="7"/>
        <v>443.56058399167773</v>
      </c>
      <c r="AY24" s="102">
        <f t="shared" si="7"/>
        <v>201.73451501108556</v>
      </c>
      <c r="AZ24" s="102">
        <f t="shared" si="7"/>
        <v>0</v>
      </c>
      <c r="BA24" s="102">
        <f t="shared" si="7"/>
        <v>0</v>
      </c>
      <c r="BB24" s="102">
        <f t="shared" si="7"/>
        <v>0</v>
      </c>
      <c r="BC24" s="102">
        <f t="shared" si="7"/>
        <v>0</v>
      </c>
      <c r="BD24" s="102">
        <f t="shared" si="7"/>
        <v>0</v>
      </c>
      <c r="BE24" s="102"/>
      <c r="BF24" s="102"/>
      <c r="BG24" s="102"/>
      <c r="BH24" s="102"/>
      <c r="BI24" s="102"/>
    </row>
    <row r="25" spans="1:61" s="17" customFormat="1" x14ac:dyDescent="0.25">
      <c r="A25" s="16" t="s">
        <v>224</v>
      </c>
      <c r="B25" s="101">
        <f>SUM(C25:BB25)</f>
        <v>11347.388650349527</v>
      </c>
      <c r="C25" s="102">
        <f t="shared" si="6"/>
        <v>0</v>
      </c>
      <c r="D25" s="102">
        <f t="shared" si="6"/>
        <v>0</v>
      </c>
      <c r="E25" s="102">
        <f t="shared" si="6"/>
        <v>0</v>
      </c>
      <c r="F25" s="102">
        <f t="shared" si="6"/>
        <v>0</v>
      </c>
      <c r="G25" s="102">
        <f t="shared" si="6"/>
        <v>0</v>
      </c>
      <c r="H25" s="102">
        <f t="shared" si="6"/>
        <v>0</v>
      </c>
      <c r="I25" s="102">
        <f t="shared" si="6"/>
        <v>0</v>
      </c>
      <c r="J25" s="102">
        <f t="shared" si="6"/>
        <v>0</v>
      </c>
      <c r="K25" s="102">
        <f t="shared" si="6"/>
        <v>0</v>
      </c>
      <c r="L25" s="102">
        <f t="shared" si="6"/>
        <v>0</v>
      </c>
      <c r="M25" s="102">
        <f t="shared" si="6"/>
        <v>0</v>
      </c>
      <c r="N25" s="102">
        <f t="shared" si="6"/>
        <v>0</v>
      </c>
      <c r="O25" s="102">
        <f t="shared" si="6"/>
        <v>210.01969106249999</v>
      </c>
      <c r="P25" s="102">
        <f t="shared" si="6"/>
        <v>411.66260424484642</v>
      </c>
      <c r="Q25" s="102">
        <f t="shared" si="6"/>
        <v>400.19468278231784</v>
      </c>
      <c r="R25" s="102">
        <f t="shared" si="6"/>
        <v>388.35801715724472</v>
      </c>
      <c r="S25" s="102">
        <f t="shared" si="6"/>
        <v>370.18190367</v>
      </c>
      <c r="T25" s="102">
        <f t="shared" si="6"/>
        <v>357.85650346999995</v>
      </c>
      <c r="U25" s="102">
        <f t="shared" si="6"/>
        <v>345.14368292500001</v>
      </c>
      <c r="V25" s="102">
        <f t="shared" si="6"/>
        <v>332.03127312999999</v>
      </c>
      <c r="W25" s="102">
        <f t="shared" si="6"/>
        <v>318.50671211500003</v>
      </c>
      <c r="X25" s="102">
        <f t="shared" si="6"/>
        <v>304.55705900999999</v>
      </c>
      <c r="Y25" s="102">
        <f t="shared" si="6"/>
        <v>304.45117406800006</v>
      </c>
      <c r="Z25" s="102">
        <f t="shared" ref="Z25:BD25" si="8">+Z18+Z14</f>
        <v>525.47181264934125</v>
      </c>
      <c r="AA25" s="102">
        <f t="shared" si="8"/>
        <v>600.83429760102456</v>
      </c>
      <c r="AB25" s="102">
        <f t="shared" si="8"/>
        <v>577.59790541950008</v>
      </c>
      <c r="AC25" s="102">
        <f t="shared" si="8"/>
        <v>553.47744541897259</v>
      </c>
      <c r="AD25" s="102">
        <f t="shared" si="8"/>
        <v>528.43703725695104</v>
      </c>
      <c r="AE25" s="102">
        <f t="shared" si="8"/>
        <v>502.4392298955953</v>
      </c>
      <c r="AF25" s="102">
        <f t="shared" si="8"/>
        <v>475.44492474359549</v>
      </c>
      <c r="AG25" s="102">
        <f t="shared" si="8"/>
        <v>447.41336083286603</v>
      </c>
      <c r="AH25" s="102">
        <f t="shared" si="8"/>
        <v>418.30193897041073</v>
      </c>
      <c r="AI25" s="102">
        <f t="shared" si="8"/>
        <v>388.06626508385381</v>
      </c>
      <c r="AJ25" s="102">
        <f t="shared" si="8"/>
        <v>356.65993515295725</v>
      </c>
      <c r="AK25" s="102">
        <f t="shared" si="8"/>
        <v>324.0345025967905</v>
      </c>
      <c r="AL25" s="102">
        <f t="shared" si="8"/>
        <v>290.13947130545108</v>
      </c>
      <c r="AM25" s="102">
        <f t="shared" si="8"/>
        <v>254.9219820190828</v>
      </c>
      <c r="AN25" s="102">
        <f t="shared" si="8"/>
        <v>218.32688949496139</v>
      </c>
      <c r="AO25" s="102">
        <f t="shared" si="8"/>
        <v>192.6661019704928</v>
      </c>
      <c r="AP25" s="102">
        <f t="shared" si="8"/>
        <v>177.49035082039802</v>
      </c>
      <c r="AQ25" s="102">
        <f t="shared" si="8"/>
        <v>161.52179739444105</v>
      </c>
      <c r="AR25" s="102">
        <f t="shared" si="8"/>
        <v>144.71884009162974</v>
      </c>
      <c r="AS25" s="102">
        <f t="shared" si="8"/>
        <v>127.03769706502301</v>
      </c>
      <c r="AT25" s="102">
        <f t="shared" si="8"/>
        <v>108.432256425708</v>
      </c>
      <c r="AU25" s="102">
        <f t="shared" si="8"/>
        <v>88.853991186652962</v>
      </c>
      <c r="AV25" s="102">
        <f t="shared" si="8"/>
        <v>68.251836737330066</v>
      </c>
      <c r="AW25" s="102">
        <f t="shared" si="8"/>
        <v>46.571997274936393</v>
      </c>
      <c r="AX25" s="102">
        <f t="shared" si="8"/>
        <v>23.907654269233003</v>
      </c>
      <c r="AY25" s="102">
        <f t="shared" si="8"/>
        <v>3.4058250374191523</v>
      </c>
      <c r="AZ25" s="102">
        <f t="shared" si="8"/>
        <v>0</v>
      </c>
      <c r="BA25" s="102">
        <f t="shared" si="8"/>
        <v>0</v>
      </c>
      <c r="BB25" s="102">
        <f t="shared" si="8"/>
        <v>0</v>
      </c>
      <c r="BC25" s="102">
        <f t="shared" si="8"/>
        <v>0</v>
      </c>
      <c r="BD25" s="102">
        <f t="shared" si="8"/>
        <v>0</v>
      </c>
      <c r="BE25" s="102"/>
      <c r="BF25" s="102"/>
      <c r="BG25" s="102"/>
      <c r="BH25" s="102"/>
      <c r="BI25" s="102"/>
    </row>
    <row r="26" spans="1:61" s="17" customFormat="1" x14ac:dyDescent="0.25">
      <c r="A26" s="16" t="s">
        <v>225</v>
      </c>
      <c r="B26" s="101">
        <f>SUM(C26:BB26)</f>
        <v>31298.820753695203</v>
      </c>
      <c r="C26" s="102">
        <f>C24+C25</f>
        <v>0</v>
      </c>
      <c r="D26" s="102">
        <f t="shared" ref="D26:U26" si="9">D24+D25</f>
        <v>0</v>
      </c>
      <c r="E26" s="102">
        <f t="shared" si="9"/>
        <v>0</v>
      </c>
      <c r="F26" s="102">
        <f t="shared" si="9"/>
        <v>0</v>
      </c>
      <c r="G26" s="102">
        <f t="shared" si="9"/>
        <v>0</v>
      </c>
      <c r="H26" s="102">
        <f t="shared" si="9"/>
        <v>0</v>
      </c>
      <c r="I26" s="102">
        <f t="shared" si="9"/>
        <v>0</v>
      </c>
      <c r="J26" s="102">
        <f t="shared" si="9"/>
        <v>0</v>
      </c>
      <c r="K26" s="102">
        <f t="shared" si="9"/>
        <v>0</v>
      </c>
      <c r="L26" s="102">
        <f t="shared" si="9"/>
        <v>0</v>
      </c>
      <c r="M26" s="102">
        <f t="shared" si="9"/>
        <v>0</v>
      </c>
      <c r="N26" s="102">
        <f t="shared" si="9"/>
        <v>0</v>
      </c>
      <c r="O26" s="102">
        <f t="shared" si="9"/>
        <v>383.65713888036998</v>
      </c>
      <c r="P26" s="102">
        <f t="shared" si="9"/>
        <v>678.3142777607394</v>
      </c>
      <c r="Q26" s="102">
        <f t="shared" si="9"/>
        <v>677.31427776073883</v>
      </c>
      <c r="R26" s="102">
        <f t="shared" si="9"/>
        <v>768.31427776073929</v>
      </c>
      <c r="S26" s="102">
        <f t="shared" si="9"/>
        <v>759.06900354000004</v>
      </c>
      <c r="T26" s="102">
        <f t="shared" si="9"/>
        <v>758.96673539999995</v>
      </c>
      <c r="U26" s="102">
        <f t="shared" si="9"/>
        <v>758.86124641499998</v>
      </c>
      <c r="V26" s="102">
        <f>V24+V25</f>
        <v>758.75243658499994</v>
      </c>
      <c r="W26" s="102">
        <f>W24+W25</f>
        <v>758.64020591000008</v>
      </c>
      <c r="X26" s="102">
        <f t="shared" ref="X26:AT26" si="10">X24+X25</f>
        <v>758.52444244499998</v>
      </c>
      <c r="Y26" s="102">
        <f t="shared" si="10"/>
        <v>777.99795786853633</v>
      </c>
      <c r="Z26" s="102">
        <f t="shared" si="10"/>
        <v>1089.1490964435027</v>
      </c>
      <c r="AA26" s="102">
        <f t="shared" si="10"/>
        <v>1241.747496030011</v>
      </c>
      <c r="AB26" s="102">
        <f t="shared" si="10"/>
        <v>1241.5511752725877</v>
      </c>
      <c r="AC26" s="102">
        <f t="shared" si="10"/>
        <v>1241.3473091559024</v>
      </c>
      <c r="AD26" s="102">
        <f t="shared" si="10"/>
        <v>1241.1355784662701</v>
      </c>
      <c r="AE26" s="102">
        <f t="shared" si="10"/>
        <v>1240.9156687958293</v>
      </c>
      <c r="AF26" s="102">
        <f t="shared" si="10"/>
        <v>1240.6871982428595</v>
      </c>
      <c r="AG26" s="102">
        <f t="shared" si="10"/>
        <v>1240.4498611253348</v>
      </c>
      <c r="AH26" s="102">
        <f t="shared" si="10"/>
        <v>1240.2032584203264</v>
      </c>
      <c r="AI26" s="102">
        <f t="shared" si="10"/>
        <v>1239.9470262367729</v>
      </c>
      <c r="AJ26" s="102">
        <f t="shared" si="10"/>
        <v>1239.6807396993936</v>
      </c>
      <c r="AK26" s="102">
        <f t="shared" si="10"/>
        <v>1239.4039708302685</v>
      </c>
      <c r="AL26" s="102">
        <f t="shared" si="10"/>
        <v>1239.1163108775431</v>
      </c>
      <c r="AM26" s="102">
        <f t="shared" si="10"/>
        <v>1238.8172753551753</v>
      </c>
      <c r="AN26" s="102">
        <f t="shared" si="10"/>
        <v>1238.506500201067</v>
      </c>
      <c r="AO26" s="102">
        <f t="shared" si="10"/>
        <v>482.2896825775149</v>
      </c>
      <c r="AP26" s="102">
        <f t="shared" si="10"/>
        <v>482.15575185459238</v>
      </c>
      <c r="AQ26" s="102">
        <f t="shared" si="10"/>
        <v>482.01473920712749</v>
      </c>
      <c r="AR26" s="102">
        <f t="shared" si="10"/>
        <v>481.86629241239621</v>
      </c>
      <c r="AS26" s="102">
        <f t="shared" si="10"/>
        <v>481.7100019416352</v>
      </c>
      <c r="AT26" s="102">
        <f t="shared" si="10"/>
        <v>481.54546304404687</v>
      </c>
      <c r="AU26" s="102">
        <f>AU24+AU25</f>
        <v>481.37220783971759</v>
      </c>
      <c r="AV26" s="102">
        <f>AV24+AV25</f>
        <v>481.18981258155605</v>
      </c>
      <c r="AW26" s="102">
        <f>AW24+AW25</f>
        <v>480.99775844823534</v>
      </c>
      <c r="AX26" s="102">
        <f t="shared" ref="AX26:BD26" si="11">AX24+AX25</f>
        <v>467.46823826091071</v>
      </c>
      <c r="AY26" s="102">
        <f t="shared" si="11"/>
        <v>205.14034004850473</v>
      </c>
      <c r="AZ26" s="102">
        <f t="shared" si="11"/>
        <v>0</v>
      </c>
      <c r="BA26" s="102">
        <f t="shared" si="11"/>
        <v>0</v>
      </c>
      <c r="BB26" s="102">
        <f t="shared" si="11"/>
        <v>0</v>
      </c>
      <c r="BC26" s="102">
        <f t="shared" si="11"/>
        <v>0</v>
      </c>
      <c r="BD26" s="102">
        <f t="shared" si="11"/>
        <v>0</v>
      </c>
      <c r="BE26" s="102"/>
      <c r="BF26" s="102"/>
      <c r="BG26" s="102"/>
      <c r="BH26" s="102"/>
      <c r="BI26" s="102"/>
    </row>
    <row r="27" spans="1:61" s="17" customFormat="1" x14ac:dyDescent="0.25">
      <c r="A27" s="16" t="s">
        <v>16</v>
      </c>
      <c r="B27" s="101"/>
      <c r="C27" s="102">
        <f>C23-C24</f>
        <v>0</v>
      </c>
      <c r="D27" s="102">
        <f>C27+D23-D24</f>
        <v>0</v>
      </c>
      <c r="E27" s="102">
        <f>D27+E23-E24</f>
        <v>0</v>
      </c>
      <c r="F27" s="102">
        <f t="shared" ref="F27:BD27" si="12">E27+F23-F24</f>
        <v>0</v>
      </c>
      <c r="G27" s="102">
        <f t="shared" si="12"/>
        <v>0</v>
      </c>
      <c r="H27" s="102">
        <f t="shared" si="12"/>
        <v>0</v>
      </c>
      <c r="I27" s="102">
        <f t="shared" si="12"/>
        <v>0</v>
      </c>
      <c r="J27" s="102">
        <f t="shared" si="12"/>
        <v>0</v>
      </c>
      <c r="K27" s="102">
        <f t="shared" si="12"/>
        <v>0</v>
      </c>
      <c r="L27" s="102">
        <f t="shared" si="12"/>
        <v>0</v>
      </c>
      <c r="M27" s="102">
        <f t="shared" si="12"/>
        <v>0</v>
      </c>
      <c r="N27" s="102">
        <f t="shared" si="12"/>
        <v>0</v>
      </c>
      <c r="O27" s="102">
        <f t="shared" si="12"/>
        <v>12993.74130218213</v>
      </c>
      <c r="P27" s="102">
        <f t="shared" si="12"/>
        <v>12727.089628666237</v>
      </c>
      <c r="Q27" s="102">
        <f t="shared" si="12"/>
        <v>12449.970033687816</v>
      </c>
      <c r="R27" s="102">
        <f t="shared" si="12"/>
        <v>12070.013773084322</v>
      </c>
      <c r="S27" s="102">
        <f>R27+S23-S24</f>
        <v>11681.126673214321</v>
      </c>
      <c r="T27" s="102">
        <f t="shared" si="12"/>
        <v>11280.016441284321</v>
      </c>
      <c r="U27" s="102">
        <f t="shared" si="12"/>
        <v>10866.298877794321</v>
      </c>
      <c r="V27" s="102">
        <f t="shared" si="12"/>
        <v>10439.577714339321</v>
      </c>
      <c r="W27" s="102">
        <f t="shared" si="12"/>
        <v>9999.4442205443211</v>
      </c>
      <c r="X27" s="102">
        <f t="shared" si="12"/>
        <v>9545.4768371093214</v>
      </c>
      <c r="Y27" s="102">
        <f t="shared" si="12"/>
        <v>10135.930053308784</v>
      </c>
      <c r="Z27" s="102">
        <f t="shared" si="12"/>
        <v>15292.616999514623</v>
      </c>
      <c r="AA27" s="102">
        <f t="shared" si="12"/>
        <v>14651.703801085636</v>
      </c>
      <c r="AB27" s="102">
        <f t="shared" si="12"/>
        <v>13987.750531232548</v>
      </c>
      <c r="AC27" s="102">
        <f t="shared" si="12"/>
        <v>13299.880667495618</v>
      </c>
      <c r="AD27" s="102">
        <f t="shared" si="12"/>
        <v>12587.182126286298</v>
      </c>
      <c r="AE27" s="102">
        <f t="shared" si="12"/>
        <v>11848.705687386064</v>
      </c>
      <c r="AF27" s="102">
        <f t="shared" si="12"/>
        <v>11083.4634138868</v>
      </c>
      <c r="AG27" s="102">
        <f t="shared" si="12"/>
        <v>10290.426913594332</v>
      </c>
      <c r="AH27" s="102">
        <f t="shared" si="12"/>
        <v>9468.5255941444157</v>
      </c>
      <c r="AI27" s="102">
        <f t="shared" si="12"/>
        <v>8616.6448329914965</v>
      </c>
      <c r="AJ27" s="102">
        <f t="shared" si="12"/>
        <v>7733.6240284450596</v>
      </c>
      <c r="AK27" s="102">
        <f t="shared" si="12"/>
        <v>6818.2545602115815</v>
      </c>
      <c r="AL27" s="102">
        <f t="shared" si="12"/>
        <v>5869.2777206394894</v>
      </c>
      <c r="AM27" s="102">
        <f t="shared" si="12"/>
        <v>4885.382427303397</v>
      </c>
      <c r="AN27" s="102">
        <f t="shared" si="12"/>
        <v>3865.2028165972915</v>
      </c>
      <c r="AO27" s="102">
        <f t="shared" si="12"/>
        <v>3575.5792359902694</v>
      </c>
      <c r="AP27" s="102">
        <f t="shared" si="12"/>
        <v>3270.9138349560749</v>
      </c>
      <c r="AQ27" s="102">
        <f t="shared" si="12"/>
        <v>2950.4208931433886</v>
      </c>
      <c r="AR27" s="102">
        <f t="shared" si="12"/>
        <v>2613.273440822622</v>
      </c>
      <c r="AS27" s="102">
        <f t="shared" si="12"/>
        <v>2258.6011359460099</v>
      </c>
      <c r="AT27" s="102">
        <f t="shared" si="12"/>
        <v>1885.4879293276711</v>
      </c>
      <c r="AU27" s="102">
        <f t="shared" si="12"/>
        <v>1492.9697126746064</v>
      </c>
      <c r="AV27" s="102">
        <f t="shared" si="12"/>
        <v>1080.0317368303804</v>
      </c>
      <c r="AW27" s="102">
        <f t="shared" si="12"/>
        <v>645.60597565708144</v>
      </c>
      <c r="AX27" s="102">
        <f t="shared" si="12"/>
        <v>202.04539166540371</v>
      </c>
      <c r="AY27" s="102">
        <f t="shared" si="12"/>
        <v>0.31087665431815026</v>
      </c>
      <c r="AZ27" s="102">
        <f t="shared" si="12"/>
        <v>0.31087665431815026</v>
      </c>
      <c r="BA27" s="102">
        <f t="shared" si="12"/>
        <v>0.31087665431815026</v>
      </c>
      <c r="BB27" s="102">
        <f t="shared" si="12"/>
        <v>0.31087665431815026</v>
      </c>
      <c r="BC27" s="102">
        <f t="shared" si="12"/>
        <v>0.31087665431815026</v>
      </c>
      <c r="BD27" s="102">
        <f t="shared" si="12"/>
        <v>0.31087665431815026</v>
      </c>
      <c r="BE27" s="102"/>
      <c r="BF27" s="102"/>
      <c r="BG27" s="102"/>
      <c r="BH27" s="102"/>
      <c r="BI27" s="102"/>
    </row>
    <row r="28" spans="1:61" s="17" customFormat="1" hidden="1" outlineLevel="1" x14ac:dyDescent="0.25">
      <c r="A28" s="16"/>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row>
    <row r="29" spans="1:61" hidden="1" outlineLevel="1" x14ac:dyDescent="0.25">
      <c r="A29" s="20" t="s">
        <v>226</v>
      </c>
      <c r="B29" s="101">
        <f t="shared" ref="B29:B47" si="13">SUM(C29:BB29)</f>
        <v>13420.235919350918</v>
      </c>
      <c r="C29" s="102">
        <v>0</v>
      </c>
      <c r="D29" s="102"/>
      <c r="E29" s="102"/>
      <c r="F29" s="102"/>
      <c r="G29" s="102"/>
      <c r="H29" s="102"/>
      <c r="I29" s="102"/>
      <c r="J29" s="102"/>
      <c r="K29" s="102"/>
      <c r="L29" s="102"/>
      <c r="M29" s="102"/>
      <c r="N29" s="102"/>
      <c r="O29" s="102"/>
      <c r="P29" s="102"/>
      <c r="Q29" s="102"/>
      <c r="R29" s="102"/>
      <c r="S29" s="102"/>
      <c r="T29" s="102"/>
      <c r="U29" s="102"/>
      <c r="V29" s="102"/>
      <c r="W29" s="102"/>
      <c r="X29" s="102"/>
      <c r="Y29" s="102"/>
      <c r="Z29" s="102">
        <f>+Z$8</f>
        <v>13420.235919350918</v>
      </c>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row>
    <row r="30" spans="1:61" s="17" customFormat="1" hidden="1" outlineLevel="1" x14ac:dyDescent="0.25">
      <c r="A30" s="16" t="s">
        <v>163</v>
      </c>
      <c r="B30" s="101">
        <f t="shared" si="13"/>
        <v>6929.183709511798</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f>+Z34-Z32</f>
        <v>128.13358182570806</v>
      </c>
      <c r="AA30" s="102">
        <f>+AA34-AA32</f>
        <v>131.65409469756332</v>
      </c>
      <c r="AB30" s="102">
        <f t="shared" ref="AB30:AN31" si="14">+AB34-AB32</f>
        <v>138.98795984908833</v>
      </c>
      <c r="AC30" s="102">
        <f t="shared" si="14"/>
        <v>146.73036207030577</v>
      </c>
      <c r="AD30" s="102">
        <f t="shared" si="14"/>
        <v>154.90405914771219</v>
      </c>
      <c r="AE30" s="102">
        <f t="shared" si="14"/>
        <v>163.53307660305916</v>
      </c>
      <c r="AF30" s="102">
        <f t="shared" si="14"/>
        <v>172.6427783132562</v>
      </c>
      <c r="AG30" s="102">
        <f t="shared" si="14"/>
        <v>182.25994106419557</v>
      </c>
      <c r="AH30" s="102">
        <f t="shared" si="14"/>
        <v>192.41283325763868</v>
      </c>
      <c r="AI30" s="102">
        <f t="shared" si="14"/>
        <v>203.13129800251454</v>
      </c>
      <c r="AJ30" s="102">
        <f t="shared" si="14"/>
        <v>214.44684083486561</v>
      </c>
      <c r="AK30" s="102">
        <f t="shared" si="14"/>
        <v>226.39272232428164</v>
      </c>
      <c r="AL30" s="102">
        <f t="shared" si="14"/>
        <v>239.00405583902761</v>
      </c>
      <c r="AM30" s="102">
        <f t="shared" si="14"/>
        <v>252.3179107572326</v>
      </c>
      <c r="AN30" s="102">
        <f t="shared" si="14"/>
        <v>266.37342142751572</v>
      </c>
      <c r="AO30" s="102">
        <f t="shared" ref="AO30:AY30" si="15">+AO34-AO32</f>
        <v>281.21190219932487</v>
      </c>
      <c r="AP30" s="102">
        <f t="shared" si="15"/>
        <v>296.8769688611053</v>
      </c>
      <c r="AQ30" s="102">
        <f t="shared" si="15"/>
        <v>313.41466684324894</v>
      </c>
      <c r="AR30" s="102">
        <f t="shared" si="15"/>
        <v>330.87360656266094</v>
      </c>
      <c r="AS30" s="102">
        <f t="shared" si="15"/>
        <v>349.30510630677179</v>
      </c>
      <c r="AT30" s="102">
        <f t="shared" si="15"/>
        <v>368.76334307698278</v>
      </c>
      <c r="AU30" s="102">
        <f t="shared" si="15"/>
        <v>389.30551183493026</v>
      </c>
      <c r="AV30" s="102">
        <f t="shared" si="15"/>
        <v>410.99199361965248</v>
      </c>
      <c r="AW30" s="102">
        <f t="shared" si="15"/>
        <v>433.88653302981743</v>
      </c>
      <c r="AX30" s="102">
        <f t="shared" si="15"/>
        <v>458.05642559269774</v>
      </c>
      <c r="AY30" s="102">
        <f t="shared" si="15"/>
        <v>483.57271557063916</v>
      </c>
      <c r="AZ30" s="102"/>
      <c r="BA30" s="102"/>
      <c r="BB30" s="102"/>
      <c r="BC30" s="102"/>
      <c r="BD30" s="102"/>
      <c r="BE30" s="102"/>
      <c r="BF30" s="102"/>
      <c r="BG30" s="102"/>
      <c r="BH30" s="102"/>
      <c r="BI30" s="102"/>
    </row>
    <row r="31" spans="1:61" s="17" customFormat="1" hidden="1" outlineLevel="1" x14ac:dyDescent="0.25">
      <c r="A31" s="16" t="s">
        <v>163</v>
      </c>
      <c r="B31" s="101">
        <f t="shared" si="13"/>
        <v>6491.0522098391257</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f>+AA35-AA33</f>
        <v>135.27133483407715</v>
      </c>
      <c r="AB31" s="102">
        <f t="shared" si="14"/>
        <v>142.80670037526198</v>
      </c>
      <c r="AC31" s="102">
        <f t="shared" si="14"/>
        <v>150.76182767830812</v>
      </c>
      <c r="AD31" s="102">
        <f t="shared" si="14"/>
        <v>159.16009980748197</v>
      </c>
      <c r="AE31" s="102">
        <f t="shared" si="14"/>
        <v>168.02620239375369</v>
      </c>
      <c r="AF31" s="102">
        <f t="shared" si="14"/>
        <v>177.38619619500571</v>
      </c>
      <c r="AG31" s="102">
        <f t="shared" si="14"/>
        <v>187.26759369824805</v>
      </c>
      <c r="AH31" s="102">
        <f t="shared" si="14"/>
        <v>197.69943998900339</v>
      </c>
      <c r="AI31" s="102">
        <f t="shared" si="14"/>
        <v>208.71239812556627</v>
      </c>
      <c r="AJ31" s="102">
        <f t="shared" si="14"/>
        <v>220.33883926908379</v>
      </c>
      <c r="AK31" s="102">
        <f t="shared" si="14"/>
        <v>232.61293783438202</v>
      </c>
      <c r="AL31" s="102">
        <f t="shared" si="14"/>
        <v>245.57077194122351</v>
      </c>
      <c r="AM31" s="102">
        <f t="shared" si="14"/>
        <v>259.2504294612578</v>
      </c>
      <c r="AN31" s="102">
        <f t="shared" si="14"/>
        <v>273.69211997237716</v>
      </c>
      <c r="AO31" s="102">
        <f t="shared" ref="AO31:AY31" si="16">+AO35-AO33</f>
        <v>288.93829294955208</v>
      </c>
      <c r="AP31" s="102">
        <f t="shared" si="16"/>
        <v>305.03376253955378</v>
      </c>
      <c r="AQ31" s="102">
        <f t="shared" si="16"/>
        <v>322.02583928632276</v>
      </c>
      <c r="AR31" s="102">
        <f t="shared" si="16"/>
        <v>339.96446919417224</v>
      </c>
      <c r="AS31" s="102">
        <f t="shared" si="16"/>
        <v>358.90238053758583</v>
      </c>
      <c r="AT31" s="102">
        <f t="shared" si="16"/>
        <v>378.89523884913729</v>
      </c>
      <c r="AU31" s="102">
        <f t="shared" si="16"/>
        <v>400.00181054109891</v>
      </c>
      <c r="AV31" s="102">
        <f t="shared" si="16"/>
        <v>422.28413564168363</v>
      </c>
      <c r="AW31" s="102">
        <f t="shared" si="16"/>
        <v>445.80771015365599</v>
      </c>
      <c r="AX31" s="102">
        <f t="shared" si="16"/>
        <v>470.64167857133231</v>
      </c>
      <c r="AY31" s="102">
        <f t="shared" si="16"/>
        <v>5.4662715835244545E-14</v>
      </c>
      <c r="AZ31" s="102"/>
      <c r="BA31" s="102"/>
      <c r="BB31" s="102"/>
      <c r="BC31" s="102"/>
      <c r="BD31" s="102"/>
      <c r="BE31" s="102"/>
      <c r="BF31" s="102"/>
      <c r="BG31" s="102"/>
      <c r="BH31" s="102"/>
      <c r="BI31" s="102"/>
    </row>
    <row r="32" spans="1:61" s="17" customFormat="1" hidden="1" outlineLevel="1" x14ac:dyDescent="0.25">
      <c r="A32" s="16" t="s">
        <v>164</v>
      </c>
      <c r="B32" s="101">
        <f t="shared" si="13"/>
        <v>5989.151255656242</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f>+Z29*($Z$9/2)</f>
        <v>368.72545529613956</v>
      </c>
      <c r="AA32" s="102">
        <f t="shared" ref="AA32:AN32" si="17">+Z37*$Z$9/2</f>
        <v>365.2049424242843</v>
      </c>
      <c r="AB32" s="102">
        <f t="shared" si="17"/>
        <v>357.87107727275929</v>
      </c>
      <c r="AC32" s="102">
        <f t="shared" si="17"/>
        <v>350.12867505154185</v>
      </c>
      <c r="AD32" s="102">
        <f t="shared" si="17"/>
        <v>341.95497797413543</v>
      </c>
      <c r="AE32" s="102">
        <f t="shared" si="17"/>
        <v>333.32596051878846</v>
      </c>
      <c r="AF32" s="102">
        <f t="shared" si="17"/>
        <v>324.21625880859142</v>
      </c>
      <c r="AG32" s="102">
        <f t="shared" si="17"/>
        <v>314.59909605765205</v>
      </c>
      <c r="AH32" s="102">
        <f t="shared" si="17"/>
        <v>304.44620386420894</v>
      </c>
      <c r="AI32" s="102">
        <f t="shared" si="17"/>
        <v>293.72773911933308</v>
      </c>
      <c r="AJ32" s="102">
        <f t="shared" si="17"/>
        <v>282.41219628698201</v>
      </c>
      <c r="AK32" s="102">
        <f t="shared" si="17"/>
        <v>270.46631479756599</v>
      </c>
      <c r="AL32" s="102">
        <f t="shared" si="17"/>
        <v>257.85498128282001</v>
      </c>
      <c r="AM32" s="102">
        <f t="shared" si="17"/>
        <v>244.54112636461502</v>
      </c>
      <c r="AN32" s="102">
        <f t="shared" si="17"/>
        <v>230.48561569433193</v>
      </c>
      <c r="AO32" s="102">
        <f t="shared" ref="AO32" si="18">+AN37*$Z$9/2</f>
        <v>215.64713492252275</v>
      </c>
      <c r="AP32" s="102">
        <f t="shared" ref="AP32" si="19">+AO37*$Z$9/2</f>
        <v>199.9820682607423</v>
      </c>
      <c r="AQ32" s="102">
        <f t="shared" ref="AQ32" si="20">+AP37*$Z$9/2</f>
        <v>183.44437027859871</v>
      </c>
      <c r="AR32" s="102">
        <f t="shared" ref="AR32" si="21">+AQ37*$Z$9/2</f>
        <v>165.98543055918671</v>
      </c>
      <c r="AS32" s="102">
        <f t="shared" ref="AS32" si="22">+AR37*$Z$9/2</f>
        <v>147.5539308150758</v>
      </c>
      <c r="AT32" s="102">
        <f t="shared" ref="AT32" si="23">+AS37*$Z$9/2</f>
        <v>128.09569404486481</v>
      </c>
      <c r="AU32" s="102">
        <f t="shared" ref="AU32" si="24">+AT37*$Z$9/2</f>
        <v>107.55352528691736</v>
      </c>
      <c r="AV32" s="102">
        <f t="shared" ref="AV32" si="25">+AU37*$Z$9/2</f>
        <v>85.867043502195173</v>
      </c>
      <c r="AW32" s="102">
        <f t="shared" ref="AW32" si="26">+AV37*$Z$9/2</f>
        <v>62.972504092030213</v>
      </c>
      <c r="AX32" s="102">
        <f t="shared" ref="AX32" si="27">+AW37*$Z$9/2</f>
        <v>38.802611529149885</v>
      </c>
      <c r="AY32" s="102">
        <f t="shared" ref="AY32" si="28">+AX37*$Z$9/2</f>
        <v>13.286321551208445</v>
      </c>
      <c r="AZ32" s="102"/>
      <c r="BA32" s="102"/>
      <c r="BB32" s="102"/>
      <c r="BC32" s="102"/>
      <c r="BD32" s="102"/>
      <c r="BE32" s="102"/>
      <c r="BF32" s="102"/>
      <c r="BG32" s="102"/>
      <c r="BH32" s="102"/>
      <c r="BI32" s="102"/>
    </row>
    <row r="33" spans="1:61" s="17" customFormat="1" hidden="1" outlineLevel="1" x14ac:dyDescent="0.25">
      <c r="A33" s="16" t="s">
        <v>164</v>
      </c>
      <c r="B33" s="101">
        <f t="shared" si="13"/>
        <v>5433.5646810852168</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f t="shared" ref="AA33:AN33" si="29">+AA36*$Z$9/2</f>
        <v>361.58770228777047</v>
      </c>
      <c r="AB33" s="102">
        <f t="shared" si="29"/>
        <v>354.05233674658564</v>
      </c>
      <c r="AC33" s="102">
        <f t="shared" si="29"/>
        <v>346.0972094435395</v>
      </c>
      <c r="AD33" s="102">
        <f t="shared" si="29"/>
        <v>337.69893731436565</v>
      </c>
      <c r="AE33" s="102">
        <f t="shared" si="29"/>
        <v>328.83283472809393</v>
      </c>
      <c r="AF33" s="102">
        <f t="shared" si="29"/>
        <v>319.47284092684191</v>
      </c>
      <c r="AG33" s="102">
        <f t="shared" si="29"/>
        <v>309.59144342359957</v>
      </c>
      <c r="AH33" s="102">
        <f t="shared" si="29"/>
        <v>299.15959713284423</v>
      </c>
      <c r="AI33" s="102">
        <f t="shared" si="29"/>
        <v>288.14663899628135</v>
      </c>
      <c r="AJ33" s="102">
        <f t="shared" si="29"/>
        <v>276.52019785276383</v>
      </c>
      <c r="AK33" s="102">
        <f t="shared" si="29"/>
        <v>264.2460992874656</v>
      </c>
      <c r="AL33" s="102">
        <f t="shared" si="29"/>
        <v>251.28826518062411</v>
      </c>
      <c r="AM33" s="102">
        <f t="shared" si="29"/>
        <v>237.6086076605898</v>
      </c>
      <c r="AN33" s="102">
        <f t="shared" si="29"/>
        <v>223.16691714947046</v>
      </c>
      <c r="AO33" s="102">
        <f t="shared" ref="AO33:AY33" si="30">+AO36*$Z$9/2</f>
        <v>207.92074417229557</v>
      </c>
      <c r="AP33" s="102">
        <f t="shared" si="30"/>
        <v>191.82527458229382</v>
      </c>
      <c r="AQ33" s="102">
        <f t="shared" si="30"/>
        <v>174.83319783552486</v>
      </c>
      <c r="AR33" s="102">
        <f t="shared" si="30"/>
        <v>156.89456792767541</v>
      </c>
      <c r="AS33" s="102">
        <f t="shared" si="30"/>
        <v>137.95665658426182</v>
      </c>
      <c r="AT33" s="102">
        <f t="shared" si="30"/>
        <v>117.96379827271035</v>
      </c>
      <c r="AU33" s="102">
        <f t="shared" si="30"/>
        <v>96.857226580748716</v>
      </c>
      <c r="AV33" s="102">
        <f t="shared" si="30"/>
        <v>74.574901480164016</v>
      </c>
      <c r="AW33" s="102">
        <f t="shared" si="30"/>
        <v>51.051326968191638</v>
      </c>
      <c r="AX33" s="102">
        <f t="shared" si="30"/>
        <v>26.217358550515321</v>
      </c>
      <c r="AY33" s="102">
        <f t="shared" si="30"/>
        <v>-5.4662715835244545E-14</v>
      </c>
      <c r="AZ33" s="102"/>
      <c r="BA33" s="102"/>
      <c r="BB33" s="102"/>
      <c r="BC33" s="102"/>
      <c r="BD33" s="102"/>
      <c r="BE33" s="102"/>
      <c r="BF33" s="102"/>
      <c r="BG33" s="102"/>
      <c r="BH33" s="102"/>
      <c r="BI33" s="102"/>
    </row>
    <row r="34" spans="1:61" s="17" customFormat="1" hidden="1" outlineLevel="1" x14ac:dyDescent="0.25">
      <c r="A34" s="16" t="s">
        <v>220</v>
      </c>
      <c r="B34" s="101">
        <f t="shared" si="13"/>
        <v>12918.334965168035</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f>-PMT($Z$9/2,$Z$10*2,Z29)</f>
        <v>496.85903712184762</v>
      </c>
      <c r="AA34" s="102">
        <f t="shared" ref="AA34:AN34" si="31">+Z34</f>
        <v>496.85903712184762</v>
      </c>
      <c r="AB34" s="102">
        <f t="shared" si="31"/>
        <v>496.85903712184762</v>
      </c>
      <c r="AC34" s="102">
        <f t="shared" si="31"/>
        <v>496.85903712184762</v>
      </c>
      <c r="AD34" s="102">
        <f t="shared" si="31"/>
        <v>496.85903712184762</v>
      </c>
      <c r="AE34" s="102">
        <f t="shared" si="31"/>
        <v>496.85903712184762</v>
      </c>
      <c r="AF34" s="102">
        <f t="shared" si="31"/>
        <v>496.85903712184762</v>
      </c>
      <c r="AG34" s="102">
        <f t="shared" si="31"/>
        <v>496.85903712184762</v>
      </c>
      <c r="AH34" s="102">
        <f t="shared" si="31"/>
        <v>496.85903712184762</v>
      </c>
      <c r="AI34" s="102">
        <f t="shared" si="31"/>
        <v>496.85903712184762</v>
      </c>
      <c r="AJ34" s="102">
        <f t="shared" si="31"/>
        <v>496.85903712184762</v>
      </c>
      <c r="AK34" s="102">
        <f t="shared" si="31"/>
        <v>496.85903712184762</v>
      </c>
      <c r="AL34" s="102">
        <f t="shared" si="31"/>
        <v>496.85903712184762</v>
      </c>
      <c r="AM34" s="102">
        <f t="shared" si="31"/>
        <v>496.85903712184762</v>
      </c>
      <c r="AN34" s="102">
        <f t="shared" si="31"/>
        <v>496.85903712184762</v>
      </c>
      <c r="AO34" s="102">
        <f t="shared" ref="AO34" si="32">+AN34</f>
        <v>496.85903712184762</v>
      </c>
      <c r="AP34" s="102">
        <f t="shared" ref="AP34" si="33">+AO34</f>
        <v>496.85903712184762</v>
      </c>
      <c r="AQ34" s="102">
        <f t="shared" ref="AQ34" si="34">+AP34</f>
        <v>496.85903712184762</v>
      </c>
      <c r="AR34" s="102">
        <f t="shared" ref="AR34" si="35">+AQ34</f>
        <v>496.85903712184762</v>
      </c>
      <c r="AS34" s="102">
        <f t="shared" ref="AS34" si="36">+AR34</f>
        <v>496.85903712184762</v>
      </c>
      <c r="AT34" s="102">
        <f t="shared" ref="AT34" si="37">+AS34</f>
        <v>496.85903712184762</v>
      </c>
      <c r="AU34" s="102">
        <f t="shared" ref="AU34" si="38">+AT34</f>
        <v>496.85903712184762</v>
      </c>
      <c r="AV34" s="102">
        <f t="shared" ref="AV34" si="39">+AU34</f>
        <v>496.85903712184762</v>
      </c>
      <c r="AW34" s="102">
        <f t="shared" ref="AW34" si="40">+AV34</f>
        <v>496.85903712184762</v>
      </c>
      <c r="AX34" s="102">
        <f t="shared" ref="AX34" si="41">+AW34</f>
        <v>496.85903712184762</v>
      </c>
      <c r="AY34" s="102">
        <f t="shared" ref="AY34" si="42">+AX34</f>
        <v>496.85903712184762</v>
      </c>
      <c r="AZ34" s="102"/>
      <c r="BA34" s="102"/>
      <c r="BB34" s="102"/>
      <c r="BC34" s="102"/>
      <c r="BD34" s="102"/>
      <c r="BE34" s="102"/>
      <c r="BF34" s="102"/>
      <c r="BG34" s="102"/>
      <c r="BH34" s="102"/>
      <c r="BI34" s="102"/>
    </row>
    <row r="35" spans="1:61" s="17" customFormat="1" hidden="1" outlineLevel="1" x14ac:dyDescent="0.25">
      <c r="A35" s="16" t="s">
        <v>220</v>
      </c>
      <c r="B35" s="101">
        <f t="shared" si="13"/>
        <v>11924.616890924341</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f t="shared" ref="AA35:AN35" si="43">+AA34</f>
        <v>496.85903712184762</v>
      </c>
      <c r="AB35" s="102">
        <f t="shared" si="43"/>
        <v>496.85903712184762</v>
      </c>
      <c r="AC35" s="102">
        <f t="shared" si="43"/>
        <v>496.85903712184762</v>
      </c>
      <c r="AD35" s="102">
        <f t="shared" si="43"/>
        <v>496.85903712184762</v>
      </c>
      <c r="AE35" s="102">
        <f t="shared" si="43"/>
        <v>496.85903712184762</v>
      </c>
      <c r="AF35" s="102">
        <f t="shared" si="43"/>
        <v>496.85903712184762</v>
      </c>
      <c r="AG35" s="102">
        <f t="shared" si="43"/>
        <v>496.85903712184762</v>
      </c>
      <c r="AH35" s="102">
        <f t="shared" si="43"/>
        <v>496.85903712184762</v>
      </c>
      <c r="AI35" s="102">
        <f t="shared" si="43"/>
        <v>496.85903712184762</v>
      </c>
      <c r="AJ35" s="102">
        <f t="shared" si="43"/>
        <v>496.85903712184762</v>
      </c>
      <c r="AK35" s="102">
        <f t="shared" si="43"/>
        <v>496.85903712184762</v>
      </c>
      <c r="AL35" s="102">
        <f t="shared" si="43"/>
        <v>496.85903712184762</v>
      </c>
      <c r="AM35" s="102">
        <f t="shared" si="43"/>
        <v>496.85903712184762</v>
      </c>
      <c r="AN35" s="102">
        <f t="shared" si="43"/>
        <v>496.85903712184762</v>
      </c>
      <c r="AO35" s="102">
        <f t="shared" ref="AO35:AX35" si="44">+AO34</f>
        <v>496.85903712184762</v>
      </c>
      <c r="AP35" s="102">
        <f t="shared" si="44"/>
        <v>496.85903712184762</v>
      </c>
      <c r="AQ35" s="102">
        <f t="shared" si="44"/>
        <v>496.85903712184762</v>
      </c>
      <c r="AR35" s="102">
        <f t="shared" si="44"/>
        <v>496.85903712184762</v>
      </c>
      <c r="AS35" s="102">
        <f t="shared" si="44"/>
        <v>496.85903712184762</v>
      </c>
      <c r="AT35" s="102">
        <f t="shared" si="44"/>
        <v>496.85903712184762</v>
      </c>
      <c r="AU35" s="102">
        <f t="shared" si="44"/>
        <v>496.85903712184762</v>
      </c>
      <c r="AV35" s="102">
        <f t="shared" si="44"/>
        <v>496.85903712184762</v>
      </c>
      <c r="AW35" s="102">
        <f t="shared" si="44"/>
        <v>496.85903712184762</v>
      </c>
      <c r="AX35" s="102">
        <f t="shared" si="44"/>
        <v>496.85903712184762</v>
      </c>
      <c r="AY35" s="102"/>
      <c r="AZ35" s="102"/>
      <c r="BA35" s="102"/>
      <c r="BB35" s="102"/>
      <c r="BC35" s="102"/>
      <c r="BD35" s="102"/>
      <c r="BE35" s="102"/>
      <c r="BF35" s="102"/>
      <c r="BG35" s="102"/>
      <c r="BH35" s="102"/>
      <c r="BI35" s="102"/>
    </row>
    <row r="36" spans="1:61" s="17" customFormat="1" hidden="1" outlineLevel="1" x14ac:dyDescent="0.25">
      <c r="A36" s="16" t="s">
        <v>227</v>
      </c>
      <c r="B36" s="101">
        <f t="shared" si="13"/>
        <v>197761.55634454725</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v>0</v>
      </c>
      <c r="AA36" s="102">
        <f t="shared" ref="AA36:AN36" si="45">+Z37-AA30</f>
        <v>13160.448242827646</v>
      </c>
      <c r="AB36" s="102">
        <f t="shared" si="45"/>
        <v>12886.188948144481</v>
      </c>
      <c r="AC36" s="102">
        <f t="shared" si="45"/>
        <v>12596.651885698913</v>
      </c>
      <c r="AD36" s="102">
        <f t="shared" si="45"/>
        <v>12290.985998872893</v>
      </c>
      <c r="AE36" s="102">
        <f t="shared" si="45"/>
        <v>11968.292822462352</v>
      </c>
      <c r="AF36" s="102">
        <f t="shared" si="45"/>
        <v>11627.623841755341</v>
      </c>
      <c r="AG36" s="102">
        <f t="shared" si="45"/>
        <v>11267.977704496139</v>
      </c>
      <c r="AH36" s="102">
        <f t="shared" si="45"/>
        <v>10888.297277540252</v>
      </c>
      <c r="AI36" s="102">
        <f t="shared" si="45"/>
        <v>10487.466539548735</v>
      </c>
      <c r="AJ36" s="102">
        <f t="shared" si="45"/>
        <v>10064.307300588303</v>
      </c>
      <c r="AK36" s="102">
        <f t="shared" si="45"/>
        <v>9617.5757389949395</v>
      </c>
      <c r="AL36" s="102">
        <f t="shared" si="45"/>
        <v>9145.9587453215299</v>
      </c>
      <c r="AM36" s="102">
        <f t="shared" si="45"/>
        <v>8648.0700626230737</v>
      </c>
      <c r="AN36" s="102">
        <f t="shared" si="45"/>
        <v>8122.446211734301</v>
      </c>
      <c r="AO36" s="102">
        <f t="shared" ref="AO36" si="46">+AN37-AO30</f>
        <v>7567.5421895625987</v>
      </c>
      <c r="AP36" s="102">
        <f t="shared" ref="AP36" si="47">+AO37-AP30</f>
        <v>6981.7269277519408</v>
      </c>
      <c r="AQ36" s="102">
        <f t="shared" ref="AQ36" si="48">+AP37-AQ30</f>
        <v>6363.2784983691381</v>
      </c>
      <c r="AR36" s="102">
        <f t="shared" ref="AR36" si="49">+AQ37-AR30</f>
        <v>5710.3790525201548</v>
      </c>
      <c r="AS36" s="102">
        <f t="shared" ref="AS36" si="50">+AR37-AS30</f>
        <v>5021.1094770192112</v>
      </c>
      <c r="AT36" s="102">
        <f t="shared" ref="AT36" si="51">+AS37-AT30</f>
        <v>4293.4437534046428</v>
      </c>
      <c r="AU36" s="102">
        <f t="shared" ref="AU36" si="52">+AT37-AU30</f>
        <v>3525.2430027205755</v>
      </c>
      <c r="AV36" s="102">
        <f t="shared" ref="AV36" si="53">+AU37-AV30</f>
        <v>2714.249198559824</v>
      </c>
      <c r="AW36" s="102">
        <f t="shared" ref="AW36" si="54">+AV37-AW30</f>
        <v>1858.0785298883231</v>
      </c>
      <c r="AX36" s="102">
        <f t="shared" ref="AX36" si="55">+AW37-AX30</f>
        <v>954.21439414196948</v>
      </c>
      <c r="AY36" s="102">
        <f t="shared" ref="AY36" si="56">+AX37-AY30</f>
        <v>-1.9895196601282805E-12</v>
      </c>
      <c r="AZ36" s="102"/>
      <c r="BA36" s="102"/>
      <c r="BB36" s="102"/>
      <c r="BC36" s="102"/>
      <c r="BD36" s="102"/>
      <c r="BE36" s="102"/>
      <c r="BF36" s="102"/>
      <c r="BG36" s="102"/>
      <c r="BH36" s="102"/>
      <c r="BI36" s="102"/>
    </row>
    <row r="37" spans="1:61" s="17" customFormat="1" hidden="1" outlineLevel="1" x14ac:dyDescent="0.25">
      <c r="A37" s="16" t="s">
        <v>16</v>
      </c>
      <c r="B37" s="101">
        <f t="shared" si="13"/>
        <v>204562.60647223334</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f>+Z29-Z30</f>
        <v>13292.10233752521</v>
      </c>
      <c r="AA37" s="102">
        <f t="shared" ref="AA37:AN37" si="57">+AA36-AA31</f>
        <v>13025.176907993569</v>
      </c>
      <c r="AB37" s="102">
        <f t="shared" si="57"/>
        <v>12743.382247769219</v>
      </c>
      <c r="AC37" s="102">
        <f t="shared" si="57"/>
        <v>12445.890058020605</v>
      </c>
      <c r="AD37" s="102">
        <f t="shared" si="57"/>
        <v>12131.82589906541</v>
      </c>
      <c r="AE37" s="102">
        <f t="shared" si="57"/>
        <v>11800.266620068598</v>
      </c>
      <c r="AF37" s="102">
        <f t="shared" si="57"/>
        <v>11450.237645560335</v>
      </c>
      <c r="AG37" s="102">
        <f t="shared" si="57"/>
        <v>11080.710110797891</v>
      </c>
      <c r="AH37" s="102">
        <f t="shared" si="57"/>
        <v>10690.59783755125</v>
      </c>
      <c r="AI37" s="102">
        <f t="shared" si="57"/>
        <v>10278.754141423169</v>
      </c>
      <c r="AJ37" s="102">
        <f t="shared" si="57"/>
        <v>9843.9684613192203</v>
      </c>
      <c r="AK37" s="102">
        <f t="shared" si="57"/>
        <v>9384.9628011605582</v>
      </c>
      <c r="AL37" s="102">
        <f t="shared" si="57"/>
        <v>8900.387973380306</v>
      </c>
      <c r="AM37" s="102">
        <f t="shared" si="57"/>
        <v>8388.8196331618165</v>
      </c>
      <c r="AN37" s="102">
        <f t="shared" si="57"/>
        <v>7848.7540917619235</v>
      </c>
      <c r="AO37" s="102">
        <f t="shared" ref="AO37:AY37" si="58">+AO36-AO31</f>
        <v>7278.6038966130463</v>
      </c>
      <c r="AP37" s="102">
        <f t="shared" si="58"/>
        <v>6676.6931652123867</v>
      </c>
      <c r="AQ37" s="102">
        <f t="shared" si="58"/>
        <v>6041.2526590828156</v>
      </c>
      <c r="AR37" s="102">
        <f t="shared" si="58"/>
        <v>5370.4145833259827</v>
      </c>
      <c r="AS37" s="102">
        <f t="shared" si="58"/>
        <v>4662.2070964816257</v>
      </c>
      <c r="AT37" s="102">
        <f t="shared" si="58"/>
        <v>3914.5485145555058</v>
      </c>
      <c r="AU37" s="102">
        <f t="shared" si="58"/>
        <v>3125.2411921794765</v>
      </c>
      <c r="AV37" s="102">
        <f t="shared" si="58"/>
        <v>2291.9650629181406</v>
      </c>
      <c r="AW37" s="102">
        <f t="shared" si="58"/>
        <v>1412.2708197346672</v>
      </c>
      <c r="AX37" s="102">
        <f t="shared" si="58"/>
        <v>483.57271557063717</v>
      </c>
      <c r="AY37" s="102">
        <f t="shared" si="58"/>
        <v>-2.0441823759635249E-12</v>
      </c>
      <c r="AZ37" s="102"/>
      <c r="BA37" s="102"/>
      <c r="BB37" s="102"/>
      <c r="BC37" s="102"/>
      <c r="BD37" s="102"/>
      <c r="BE37" s="102"/>
      <c r="BF37" s="102"/>
      <c r="BG37" s="102"/>
      <c r="BH37" s="102"/>
      <c r="BI37" s="102"/>
    </row>
    <row r="38" spans="1:61" s="17" customFormat="1" hidden="1" outlineLevel="1" x14ac:dyDescent="0.25">
      <c r="A38" s="16"/>
      <c r="B38" s="101">
        <f t="shared" si="13"/>
        <v>0</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row>
    <row r="39" spans="1:61" hidden="1" outlineLevel="1" x14ac:dyDescent="0.25">
      <c r="A39" s="20" t="str">
        <f t="shared" ref="A39:A47" si="59">A29</f>
        <v>Debt Forecasted</v>
      </c>
      <c r="B39" s="101">
        <f t="shared" si="13"/>
        <v>483.6</v>
      </c>
      <c r="C39" s="102">
        <v>0</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f>+AA$8</f>
        <v>483.6</v>
      </c>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row>
    <row r="40" spans="1:61" s="17" customFormat="1" hidden="1" outlineLevel="1" x14ac:dyDescent="0.25">
      <c r="A40" s="16" t="str">
        <f t="shared" si="59"/>
        <v>Principal</v>
      </c>
      <c r="B40" s="101">
        <f t="shared" si="13"/>
        <v>255.77107654387572</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f>+AA44-AA42</f>
        <v>10.92518802057692</v>
      </c>
      <c r="AB40" s="102">
        <f>+AB44-AB42</f>
        <v>11.203942632180794</v>
      </c>
      <c r="AC40" s="102">
        <f t="shared" ref="AC40:AP41" si="60">+AC44-AC42</f>
        <v>11.782970479131576</v>
      </c>
      <c r="AD40" s="102">
        <f t="shared" si="60"/>
        <v>12.391922903398692</v>
      </c>
      <c r="AE40" s="102">
        <f t="shared" si="60"/>
        <v>13.032346428749999</v>
      </c>
      <c r="AF40" s="102">
        <f t="shared" si="60"/>
        <v>13.70586750441861</v>
      </c>
      <c r="AG40" s="102">
        <f t="shared" si="60"/>
        <v>14.414196635708663</v>
      </c>
      <c r="AH40" s="102">
        <f t="shared" si="60"/>
        <v>15.15913272807377</v>
      </c>
      <c r="AI40" s="102">
        <f t="shared" si="60"/>
        <v>15.942567655700598</v>
      </c>
      <c r="AJ40" s="102">
        <f t="shared" si="60"/>
        <v>16.766491066200132</v>
      </c>
      <c r="AK40" s="102">
        <f t="shared" si="60"/>
        <v>17.632995433608848</v>
      </c>
      <c r="AL40" s="102">
        <f t="shared" si="60"/>
        <v>18.544281372532669</v>
      </c>
      <c r="AM40" s="102">
        <f t="shared" si="60"/>
        <v>19.502663226929677</v>
      </c>
      <c r="AN40" s="102">
        <f t="shared" si="60"/>
        <v>20.510574947725168</v>
      </c>
      <c r="AO40" s="102">
        <f t="shared" si="60"/>
        <v>21.570576274186109</v>
      </c>
      <c r="AP40" s="102">
        <f t="shared" si="60"/>
        <v>22.685359234753495</v>
      </c>
      <c r="AQ40" s="102"/>
      <c r="AR40" s="102"/>
      <c r="AS40" s="102"/>
      <c r="AT40" s="102"/>
      <c r="AU40" s="102"/>
      <c r="AV40" s="102"/>
      <c r="AW40" s="102"/>
      <c r="AX40" s="102"/>
      <c r="AY40" s="102"/>
      <c r="AZ40" s="102"/>
      <c r="BA40" s="102"/>
      <c r="BB40" s="102"/>
      <c r="BC40" s="102"/>
      <c r="BD40" s="102"/>
      <c r="BE40" s="102"/>
      <c r="BF40" s="102"/>
      <c r="BG40" s="102"/>
      <c r="BH40" s="102"/>
      <c r="BI40" s="102"/>
    </row>
    <row r="41" spans="1:61" s="17" customFormat="1" hidden="1" outlineLevel="1" x14ac:dyDescent="0.25">
      <c r="A41" s="16" t="str">
        <f t="shared" si="59"/>
        <v>Principal</v>
      </c>
      <c r="B41" s="101">
        <f t="shared" si="13"/>
        <v>227.8289234561241</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f>+AB45-AB43</f>
        <v>11.489809627877653</v>
      </c>
      <c r="AC41" s="102">
        <f t="shared" si="60"/>
        <v>12.083611287625121</v>
      </c>
      <c r="AD41" s="102">
        <f t="shared" si="60"/>
        <v>12.708101046004208</v>
      </c>
      <c r="AE41" s="102">
        <f t="shared" si="60"/>
        <v>13.364864886115779</v>
      </c>
      <c r="AF41" s="102">
        <f t="shared" si="60"/>
        <v>14.055570755812779</v>
      </c>
      <c r="AG41" s="102">
        <f t="shared" si="60"/>
        <v>14.781972803697821</v>
      </c>
      <c r="AH41" s="102">
        <f t="shared" si="60"/>
        <v>15.545915834040184</v>
      </c>
      <c r="AI41" s="102">
        <f t="shared" si="60"/>
        <v>16.349339991926133</v>
      </c>
      <c r="AJ41" s="102">
        <f t="shared" si="60"/>
        <v>17.194285690541218</v>
      </c>
      <c r="AK41" s="102">
        <f t="shared" si="60"/>
        <v>18.082898793098032</v>
      </c>
      <c r="AL41" s="102">
        <f t="shared" si="60"/>
        <v>19.017436062569789</v>
      </c>
      <c r="AM41" s="102">
        <f t="shared" si="60"/>
        <v>20.000270893070041</v>
      </c>
      <c r="AN41" s="102">
        <f t="shared" si="60"/>
        <v>21.033899337434239</v>
      </c>
      <c r="AO41" s="102">
        <f t="shared" si="60"/>
        <v>22.120946446311073</v>
      </c>
      <c r="AP41" s="102">
        <f t="shared" si="60"/>
        <v>-8.4301693245184371E-15</v>
      </c>
      <c r="AQ41" s="102"/>
      <c r="AR41" s="102"/>
      <c r="AS41" s="102"/>
      <c r="AT41" s="102"/>
      <c r="AU41" s="102"/>
      <c r="AV41" s="102"/>
      <c r="AW41" s="102"/>
      <c r="AX41" s="102"/>
      <c r="AY41" s="102"/>
      <c r="AZ41" s="102"/>
      <c r="BA41" s="102"/>
      <c r="BB41" s="102"/>
      <c r="BC41" s="102"/>
      <c r="BD41" s="102"/>
      <c r="BE41" s="102"/>
      <c r="BF41" s="102"/>
      <c r="BG41" s="102"/>
      <c r="BH41" s="102"/>
      <c r="BI41" s="102"/>
    </row>
    <row r="42" spans="1:61" s="17" customFormat="1" hidden="1" outlineLevel="1" x14ac:dyDescent="0.25">
      <c r="A42" s="16" t="str">
        <f t="shared" si="59"/>
        <v>Interest</v>
      </c>
      <c r="B42" s="101">
        <f t="shared" si="13"/>
        <v>116.45569041392639</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f>+AA39*(AA$9/2)</f>
        <v>12.338984914285712</v>
      </c>
      <c r="AB42" s="102">
        <f>+AA47*$AA$9/2</f>
        <v>12.060230302681838</v>
      </c>
      <c r="AC42" s="102">
        <f t="shared" ref="AC42:AP42" si="61">+AB47*$AA$9/2</f>
        <v>11.481202455731056</v>
      </c>
      <c r="AD42" s="102">
        <f t="shared" si="61"/>
        <v>10.87225003146394</v>
      </c>
      <c r="AE42" s="102">
        <f t="shared" si="61"/>
        <v>10.231826506112633</v>
      </c>
      <c r="AF42" s="102">
        <f t="shared" si="61"/>
        <v>9.5583054304440225</v>
      </c>
      <c r="AG42" s="102">
        <f t="shared" si="61"/>
        <v>8.849976299153969</v>
      </c>
      <c r="AH42" s="102">
        <f t="shared" si="61"/>
        <v>8.1050402067888623</v>
      </c>
      <c r="AI42" s="102">
        <f t="shared" si="61"/>
        <v>7.3216052791620339</v>
      </c>
      <c r="AJ42" s="102">
        <f t="shared" si="61"/>
        <v>6.497681868662502</v>
      </c>
      <c r="AK42" s="102">
        <f t="shared" si="61"/>
        <v>5.6311775012537826</v>
      </c>
      <c r="AL42" s="102">
        <f t="shared" si="61"/>
        <v>4.7198915623299618</v>
      </c>
      <c r="AM42" s="102">
        <f t="shared" si="61"/>
        <v>3.7615097079329551</v>
      </c>
      <c r="AN42" s="102">
        <f t="shared" si="61"/>
        <v>2.7535979871374656</v>
      </c>
      <c r="AO42" s="102">
        <f t="shared" si="61"/>
        <v>1.6935966606765211</v>
      </c>
      <c r="AP42" s="102">
        <f t="shared" si="61"/>
        <v>0.5788137001091388</v>
      </c>
      <c r="AQ42" s="102"/>
      <c r="AR42" s="102"/>
      <c r="AS42" s="102"/>
      <c r="AT42" s="102"/>
      <c r="AU42" s="102"/>
      <c r="AV42" s="102"/>
      <c r="AW42" s="102"/>
      <c r="AX42" s="102"/>
      <c r="AY42" s="102"/>
      <c r="AZ42" s="102"/>
      <c r="BA42" s="102"/>
      <c r="BB42" s="102"/>
      <c r="BC42" s="102"/>
      <c r="BD42" s="102"/>
      <c r="BE42" s="102"/>
      <c r="BF42" s="102"/>
      <c r="BG42" s="102"/>
      <c r="BH42" s="102"/>
      <c r="BI42" s="102"/>
    </row>
    <row r="43" spans="1:61" s="17" customFormat="1" hidden="1" outlineLevel="1" x14ac:dyDescent="0.25">
      <c r="A43" s="16" t="str">
        <f t="shared" si="59"/>
        <v>Interest</v>
      </c>
      <c r="B43" s="101">
        <f t="shared" si="13"/>
        <v>97.869497631952811</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f>+AB46*$AA$9/2</f>
        <v>11.774363306984979</v>
      </c>
      <c r="AC43" s="102">
        <f t="shared" ref="AC43:AP43" si="62">+AC46*$AA$9/2</f>
        <v>11.180561647237511</v>
      </c>
      <c r="AD43" s="102">
        <f t="shared" si="62"/>
        <v>10.556071888858424</v>
      </c>
      <c r="AE43" s="102">
        <f t="shared" si="62"/>
        <v>9.8993080487468532</v>
      </c>
      <c r="AF43" s="102">
        <f t="shared" si="62"/>
        <v>9.2086021790498531</v>
      </c>
      <c r="AG43" s="102">
        <f t="shared" si="62"/>
        <v>8.4822001311648112</v>
      </c>
      <c r="AH43" s="102">
        <f t="shared" si="62"/>
        <v>7.7182571008224494</v>
      </c>
      <c r="AI43" s="102">
        <f t="shared" si="62"/>
        <v>6.9148329429364983</v>
      </c>
      <c r="AJ43" s="102">
        <f t="shared" si="62"/>
        <v>6.0698872443214151</v>
      </c>
      <c r="AK43" s="102">
        <f t="shared" si="62"/>
        <v>5.1812741417646011</v>
      </c>
      <c r="AL43" s="102">
        <f t="shared" si="62"/>
        <v>4.2467368722928436</v>
      </c>
      <c r="AM43" s="102">
        <f t="shared" si="62"/>
        <v>3.2639020417925915</v>
      </c>
      <c r="AN43" s="102">
        <f t="shared" si="62"/>
        <v>2.2302735974283929</v>
      </c>
      <c r="AO43" s="102">
        <f t="shared" si="62"/>
        <v>1.1432264885515591</v>
      </c>
      <c r="AP43" s="102">
        <f t="shared" si="62"/>
        <v>8.4301693245184371E-15</v>
      </c>
      <c r="AQ43" s="102"/>
      <c r="AR43" s="102"/>
      <c r="AS43" s="102"/>
      <c r="AT43" s="102"/>
      <c r="AU43" s="102"/>
      <c r="AV43" s="102"/>
      <c r="AW43" s="102"/>
      <c r="AX43" s="102"/>
      <c r="AY43" s="102"/>
      <c r="AZ43" s="102"/>
      <c r="BA43" s="102"/>
      <c r="BB43" s="102"/>
      <c r="BC43" s="102"/>
      <c r="BD43" s="102"/>
      <c r="BE43" s="102"/>
      <c r="BF43" s="102"/>
      <c r="BG43" s="102"/>
      <c r="BH43" s="102"/>
      <c r="BI43" s="102"/>
    </row>
    <row r="44" spans="1:61" s="17" customFormat="1" hidden="1" outlineLevel="1" x14ac:dyDescent="0.25">
      <c r="A44" s="16" t="str">
        <f t="shared" si="59"/>
        <v xml:space="preserve">Debt Servicing </v>
      </c>
      <c r="B44" s="101">
        <f t="shared" si="13"/>
        <v>372.22676695780223</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f>-PMT($AA$9/2,$AA$10*2,AA39)</f>
        <v>23.264172934862632</v>
      </c>
      <c r="AB44" s="102">
        <f t="shared" ref="AB44:AP44" si="63">+AA44</f>
        <v>23.264172934862632</v>
      </c>
      <c r="AC44" s="102">
        <f t="shared" si="63"/>
        <v>23.264172934862632</v>
      </c>
      <c r="AD44" s="102">
        <f t="shared" si="63"/>
        <v>23.264172934862632</v>
      </c>
      <c r="AE44" s="102">
        <f t="shared" si="63"/>
        <v>23.264172934862632</v>
      </c>
      <c r="AF44" s="102">
        <f t="shared" si="63"/>
        <v>23.264172934862632</v>
      </c>
      <c r="AG44" s="102">
        <f t="shared" si="63"/>
        <v>23.264172934862632</v>
      </c>
      <c r="AH44" s="102">
        <f t="shared" si="63"/>
        <v>23.264172934862632</v>
      </c>
      <c r="AI44" s="102">
        <f t="shared" si="63"/>
        <v>23.264172934862632</v>
      </c>
      <c r="AJ44" s="102">
        <f t="shared" si="63"/>
        <v>23.264172934862632</v>
      </c>
      <c r="AK44" s="102">
        <f t="shared" si="63"/>
        <v>23.264172934862632</v>
      </c>
      <c r="AL44" s="102">
        <f t="shared" si="63"/>
        <v>23.264172934862632</v>
      </c>
      <c r="AM44" s="102">
        <f t="shared" si="63"/>
        <v>23.264172934862632</v>
      </c>
      <c r="AN44" s="102">
        <f t="shared" si="63"/>
        <v>23.264172934862632</v>
      </c>
      <c r="AO44" s="102">
        <f t="shared" si="63"/>
        <v>23.264172934862632</v>
      </c>
      <c r="AP44" s="102">
        <f t="shared" si="63"/>
        <v>23.264172934862632</v>
      </c>
      <c r="AQ44" s="102"/>
      <c r="AR44" s="102"/>
      <c r="AS44" s="102"/>
      <c r="AT44" s="102"/>
      <c r="AU44" s="102"/>
      <c r="AV44" s="102"/>
      <c r="AW44" s="102"/>
      <c r="AX44" s="102"/>
      <c r="AY44" s="102"/>
      <c r="AZ44" s="102"/>
      <c r="BA44" s="102"/>
      <c r="BB44" s="102"/>
      <c r="BC44" s="102"/>
      <c r="BD44" s="102"/>
      <c r="BE44" s="102"/>
      <c r="BF44" s="102"/>
      <c r="BG44" s="102"/>
      <c r="BH44" s="102"/>
      <c r="BI44" s="102"/>
    </row>
    <row r="45" spans="1:61" s="17" customFormat="1" hidden="1" outlineLevel="1" x14ac:dyDescent="0.25">
      <c r="A45" s="16" t="str">
        <f t="shared" si="59"/>
        <v xml:space="preserve">Debt Servicing </v>
      </c>
      <c r="B45" s="101">
        <f t="shared" si="13"/>
        <v>325.69842108807694</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f t="shared" ref="AB45:AO45" si="64">+AB44</f>
        <v>23.264172934862632</v>
      </c>
      <c r="AC45" s="102">
        <f t="shared" si="64"/>
        <v>23.264172934862632</v>
      </c>
      <c r="AD45" s="102">
        <f t="shared" si="64"/>
        <v>23.264172934862632</v>
      </c>
      <c r="AE45" s="102">
        <f t="shared" si="64"/>
        <v>23.264172934862632</v>
      </c>
      <c r="AF45" s="102">
        <f t="shared" si="64"/>
        <v>23.264172934862632</v>
      </c>
      <c r="AG45" s="102">
        <f t="shared" si="64"/>
        <v>23.264172934862632</v>
      </c>
      <c r="AH45" s="102">
        <f t="shared" si="64"/>
        <v>23.264172934862632</v>
      </c>
      <c r="AI45" s="102">
        <f t="shared" si="64"/>
        <v>23.264172934862632</v>
      </c>
      <c r="AJ45" s="102">
        <f t="shared" si="64"/>
        <v>23.264172934862632</v>
      </c>
      <c r="AK45" s="102">
        <f t="shared" si="64"/>
        <v>23.264172934862632</v>
      </c>
      <c r="AL45" s="102">
        <f t="shared" si="64"/>
        <v>23.264172934862632</v>
      </c>
      <c r="AM45" s="102">
        <f t="shared" si="64"/>
        <v>23.264172934862632</v>
      </c>
      <c r="AN45" s="102">
        <f t="shared" si="64"/>
        <v>23.264172934862632</v>
      </c>
      <c r="AO45" s="102">
        <f t="shared" si="64"/>
        <v>23.264172934862632</v>
      </c>
      <c r="AP45" s="102"/>
      <c r="AQ45" s="102"/>
      <c r="AR45" s="102"/>
      <c r="AS45" s="102"/>
      <c r="AT45" s="102"/>
      <c r="AU45" s="102"/>
      <c r="AV45" s="102"/>
      <c r="AW45" s="102"/>
      <c r="AX45" s="102"/>
      <c r="AY45" s="102"/>
      <c r="AZ45" s="102"/>
      <c r="BA45" s="102"/>
      <c r="BB45" s="102"/>
      <c r="BC45" s="102"/>
      <c r="BD45" s="102"/>
      <c r="BE45" s="102"/>
      <c r="BF45" s="102"/>
      <c r="BG45" s="102"/>
      <c r="BH45" s="102"/>
      <c r="BI45" s="102"/>
    </row>
    <row r="46" spans="1:61" s="17" customFormat="1" hidden="1" outlineLevel="1" x14ac:dyDescent="0.25">
      <c r="A46" s="16" t="str">
        <f t="shared" si="59"/>
        <v>Balance mid year</v>
      </c>
      <c r="B46" s="101">
        <f t="shared" si="13"/>
        <v>3835.7846600505577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v>0</v>
      </c>
      <c r="AB46" s="102">
        <f t="shared" ref="AB46:AP46" si="65">+AA47-AB40</f>
        <v>461.47086934724234</v>
      </c>
      <c r="AC46" s="102">
        <f t="shared" si="65"/>
        <v>438.19808924023312</v>
      </c>
      <c r="AD46" s="102">
        <f t="shared" si="65"/>
        <v>413.72255504920935</v>
      </c>
      <c r="AE46" s="102">
        <f t="shared" si="65"/>
        <v>387.98210757445514</v>
      </c>
      <c r="AF46" s="102">
        <f t="shared" si="65"/>
        <v>360.91137518392077</v>
      </c>
      <c r="AG46" s="102">
        <f t="shared" si="65"/>
        <v>332.44160779239934</v>
      </c>
      <c r="AH46" s="102">
        <f t="shared" si="65"/>
        <v>302.50050226062774</v>
      </c>
      <c r="AI46" s="102">
        <f t="shared" si="65"/>
        <v>271.01201877088698</v>
      </c>
      <c r="AJ46" s="102">
        <f t="shared" si="65"/>
        <v>237.89618771276071</v>
      </c>
      <c r="AK46" s="102">
        <f t="shared" si="65"/>
        <v>203.06890658861064</v>
      </c>
      <c r="AL46" s="102">
        <f t="shared" si="65"/>
        <v>166.44172642297994</v>
      </c>
      <c r="AM46" s="102">
        <f t="shared" si="65"/>
        <v>127.92162713348046</v>
      </c>
      <c r="AN46" s="102">
        <f t="shared" si="65"/>
        <v>87.410781292685243</v>
      </c>
      <c r="AO46" s="102">
        <f t="shared" si="65"/>
        <v>44.806305681064899</v>
      </c>
      <c r="AP46" s="102">
        <f t="shared" si="65"/>
        <v>3.3040237212844659E-13</v>
      </c>
      <c r="AQ46" s="102"/>
      <c r="AR46" s="102"/>
      <c r="AS46" s="102"/>
      <c r="AT46" s="102"/>
      <c r="AU46" s="102"/>
      <c r="AV46" s="102"/>
      <c r="AW46" s="102"/>
      <c r="AX46" s="102"/>
      <c r="AY46" s="102"/>
      <c r="AZ46" s="102"/>
      <c r="BA46" s="102"/>
      <c r="BB46" s="102"/>
      <c r="BC46" s="102"/>
      <c r="BD46" s="102"/>
      <c r="BE46" s="102"/>
      <c r="BF46" s="102"/>
      <c r="BG46" s="102"/>
      <c r="BH46" s="102"/>
      <c r="BI46" s="102"/>
    </row>
    <row r="47" spans="1:61" s="17" customFormat="1" hidden="1" outlineLevel="1" x14ac:dyDescent="0.25">
      <c r="A47" s="16" t="str">
        <f t="shared" si="59"/>
        <v>Balance</v>
      </c>
      <c r="B47" s="101">
        <f t="shared" si="13"/>
        <v>4080.6305485738562</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f>+AA39-AA40</f>
        <v>472.67481197942311</v>
      </c>
      <c r="AB47" s="102">
        <f t="shared" ref="AB47:AP47" si="66">+AB46-AB41</f>
        <v>449.98105971936468</v>
      </c>
      <c r="AC47" s="102">
        <f t="shared" si="66"/>
        <v>426.11447795260801</v>
      </c>
      <c r="AD47" s="102">
        <f t="shared" si="66"/>
        <v>401.01445400320512</v>
      </c>
      <c r="AE47" s="102">
        <f t="shared" si="66"/>
        <v>374.61724268833939</v>
      </c>
      <c r="AF47" s="102">
        <f t="shared" si="66"/>
        <v>346.855804428108</v>
      </c>
      <c r="AG47" s="102">
        <f t="shared" si="66"/>
        <v>317.6596349887015</v>
      </c>
      <c r="AH47" s="102">
        <f t="shared" si="66"/>
        <v>286.95458642658758</v>
      </c>
      <c r="AI47" s="102">
        <f t="shared" si="66"/>
        <v>254.66267877896084</v>
      </c>
      <c r="AJ47" s="102">
        <f t="shared" si="66"/>
        <v>220.70190202221949</v>
      </c>
      <c r="AK47" s="102">
        <f t="shared" si="66"/>
        <v>184.98600779551262</v>
      </c>
      <c r="AL47" s="102">
        <f t="shared" si="66"/>
        <v>147.42429036041014</v>
      </c>
      <c r="AM47" s="102">
        <f t="shared" si="66"/>
        <v>107.92135624041042</v>
      </c>
      <c r="AN47" s="102">
        <f t="shared" si="66"/>
        <v>66.376881955251008</v>
      </c>
      <c r="AO47" s="102">
        <f t="shared" si="66"/>
        <v>22.685359234753825</v>
      </c>
      <c r="AP47" s="102">
        <f t="shared" si="66"/>
        <v>3.3883254145296501E-13</v>
      </c>
      <c r="AQ47" s="102"/>
      <c r="AR47" s="102"/>
      <c r="AS47" s="102"/>
      <c r="AT47" s="102"/>
      <c r="AU47" s="102"/>
      <c r="AV47" s="102"/>
      <c r="AW47" s="102"/>
      <c r="AX47" s="102"/>
      <c r="AY47" s="102"/>
      <c r="AZ47" s="102"/>
      <c r="BA47" s="102"/>
      <c r="BB47" s="102"/>
      <c r="BC47" s="102"/>
      <c r="BD47" s="102"/>
      <c r="BE47" s="102"/>
      <c r="BF47" s="102"/>
      <c r="BG47" s="102"/>
      <c r="BH47" s="102"/>
      <c r="BI47" s="102"/>
    </row>
    <row r="48" spans="1:61" s="17" customFormat="1" hidden="1" outlineLevel="1" x14ac:dyDescent="0.25">
      <c r="A48" s="16"/>
      <c r="B48" s="10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row>
    <row r="49" spans="1:61" hidden="1" outlineLevel="1" x14ac:dyDescent="0.25">
      <c r="A49" s="20" t="str">
        <f t="shared" ref="A49:A57" si="67">A39</f>
        <v>Debt Forecasted</v>
      </c>
      <c r="B49" s="101">
        <f t="shared" ref="B49:B133" si="68">SUM(C49:BB49)</f>
        <v>67.600000000000009</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f>+AB$8</f>
        <v>67.600000000000009</v>
      </c>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row>
    <row r="50" spans="1:61" s="17" customFormat="1" hidden="1" outlineLevel="1" x14ac:dyDescent="0.25">
      <c r="A50" s="16" t="str">
        <f t="shared" si="67"/>
        <v>Principal</v>
      </c>
      <c r="B50" s="101">
        <f t="shared" si="68"/>
        <v>35.752563345835775</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f>+AB54-AB52</f>
        <v>1.5259948712523281</v>
      </c>
      <c r="AC50" s="102">
        <f>+AC54-AC52</f>
        <v>1.5650044231443194</v>
      </c>
      <c r="AD50" s="102">
        <f t="shared" ref="AD50:AQ51" si="69">+AD54-AD52</f>
        <v>1.6460406644152243</v>
      </c>
      <c r="AE50" s="102">
        <f t="shared" si="69"/>
        <v>1.7312729784270118</v>
      </c>
      <c r="AF50" s="102">
        <f t="shared" si="69"/>
        <v>1.8209186386633802</v>
      </c>
      <c r="AG50" s="102">
        <f t="shared" si="69"/>
        <v>1.9152061690723636</v>
      </c>
      <c r="AH50" s="102">
        <f t="shared" si="69"/>
        <v>2.0143759266176184</v>
      </c>
      <c r="AI50" s="102">
        <f t="shared" si="69"/>
        <v>2.1186807139943342</v>
      </c>
      <c r="AJ50" s="102">
        <f t="shared" si="69"/>
        <v>2.2283864240716955</v>
      </c>
      <c r="AK50" s="102">
        <f t="shared" si="69"/>
        <v>2.343772717704701</v>
      </c>
      <c r="AL50" s="102">
        <f t="shared" si="69"/>
        <v>2.4651337366432196</v>
      </c>
      <c r="AM50" s="102">
        <f t="shared" si="69"/>
        <v>2.592778853355612</v>
      </c>
      <c r="AN50" s="102">
        <f t="shared" si="69"/>
        <v>2.7270334596783767</v>
      </c>
      <c r="AO50" s="102">
        <f t="shared" si="69"/>
        <v>2.8682397963022246</v>
      </c>
      <c r="AP50" s="102">
        <f t="shared" si="69"/>
        <v>3.0167578252091145</v>
      </c>
      <c r="AQ50" s="102">
        <f t="shared" si="69"/>
        <v>3.1729661472842476</v>
      </c>
      <c r="AR50" s="102"/>
      <c r="AS50" s="102"/>
      <c r="AT50" s="102"/>
      <c r="AU50" s="102"/>
      <c r="AV50" s="102"/>
      <c r="AW50" s="102"/>
      <c r="AX50" s="102"/>
      <c r="AY50" s="102"/>
      <c r="AZ50" s="102"/>
      <c r="BA50" s="102"/>
      <c r="BB50" s="102"/>
      <c r="BC50" s="102"/>
      <c r="BD50" s="102"/>
      <c r="BE50" s="102"/>
      <c r="BF50" s="102"/>
      <c r="BG50" s="102"/>
      <c r="BH50" s="102"/>
      <c r="BI50" s="102"/>
    </row>
    <row r="51" spans="1:61" s="17" customFormat="1" hidden="1" outlineLevel="1" x14ac:dyDescent="0.25">
      <c r="A51" s="16" t="str">
        <f t="shared" si="67"/>
        <v>Principal</v>
      </c>
      <c r="B51" s="101">
        <f t="shared" si="68"/>
        <v>31.847436654164206</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f>+AC55-AC53</f>
        <v>1.6050111901433088</v>
      </c>
      <c r="AD51" s="102">
        <f t="shared" si="69"/>
        <v>1.6881189897913367</v>
      </c>
      <c r="AE51" s="102">
        <f t="shared" si="69"/>
        <v>1.7755301278863196</v>
      </c>
      <c r="AF51" s="102">
        <f t="shared" si="69"/>
        <v>1.8674674321516176</v>
      </c>
      <c r="AG51" s="102">
        <f t="shared" si="69"/>
        <v>1.9641652683745638</v>
      </c>
      <c r="AH51" s="102">
        <f t="shared" si="69"/>
        <v>2.0658701378497186</v>
      </c>
      <c r="AI51" s="102">
        <f t="shared" si="69"/>
        <v>2.1728413057578555</v>
      </c>
      <c r="AJ51" s="102">
        <f t="shared" si="69"/>
        <v>2.2853514620825344</v>
      </c>
      <c r="AK51" s="102">
        <f t="shared" si="69"/>
        <v>2.4036874167490714</v>
      </c>
      <c r="AL51" s="102">
        <f t="shared" si="69"/>
        <v>2.5281508307579363</v>
      </c>
      <c r="AM51" s="102">
        <f t="shared" si="69"/>
        <v>2.6590589851763893</v>
      </c>
      <c r="AN51" s="102">
        <f t="shared" si="69"/>
        <v>2.7967455899486562</v>
      </c>
      <c r="AO51" s="102">
        <f t="shared" si="69"/>
        <v>2.9415616345864541</v>
      </c>
      <c r="AP51" s="102">
        <f t="shared" si="69"/>
        <v>3.0938762829084441</v>
      </c>
      <c r="AQ51" s="102">
        <f t="shared" si="69"/>
        <v>-5.9032537588369186E-16</v>
      </c>
      <c r="AR51" s="102"/>
      <c r="AS51" s="102"/>
      <c r="AT51" s="102"/>
      <c r="AU51" s="102"/>
      <c r="AV51" s="102"/>
      <c r="AW51" s="102"/>
      <c r="AX51" s="102"/>
      <c r="AY51" s="102"/>
      <c r="AZ51" s="102"/>
      <c r="BA51" s="102"/>
      <c r="BB51" s="102"/>
      <c r="BC51" s="102"/>
      <c r="BD51" s="102"/>
      <c r="BE51" s="102"/>
      <c r="BF51" s="102"/>
      <c r="BG51" s="102"/>
      <c r="BH51" s="102"/>
      <c r="BI51" s="102"/>
    </row>
    <row r="52" spans="1:61" s="17" customFormat="1" hidden="1" outlineLevel="1" x14ac:dyDescent="0.25">
      <c r="A52" s="16" t="str">
        <f t="shared" si="67"/>
        <v>Interest</v>
      </c>
      <c r="B52" s="101">
        <f t="shared" si="68"/>
        <v>16.312681679915762</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f>+AB49*(AB$9/2)</f>
        <v>1.7280829428571429</v>
      </c>
      <c r="AC52" s="102">
        <f>+AB57*$AB$9/2</f>
        <v>1.6890733909651516</v>
      </c>
      <c r="AD52" s="102">
        <f t="shared" ref="AD52:AQ52" si="70">+AC57*$AB$9/2</f>
        <v>1.6080371496942467</v>
      </c>
      <c r="AE52" s="102">
        <f t="shared" si="70"/>
        <v>1.5228048356824593</v>
      </c>
      <c r="AF52" s="102">
        <f t="shared" si="70"/>
        <v>1.4331591754460908</v>
      </c>
      <c r="AG52" s="102">
        <f t="shared" si="70"/>
        <v>1.3388716450371074</v>
      </c>
      <c r="AH52" s="102">
        <f t="shared" si="70"/>
        <v>1.2397018874918524</v>
      </c>
      <c r="AI52" s="102">
        <f t="shared" si="70"/>
        <v>1.1353971001151366</v>
      </c>
      <c r="AJ52" s="102">
        <f t="shared" si="70"/>
        <v>1.0256913900377755</v>
      </c>
      <c r="AK52" s="102">
        <f t="shared" si="70"/>
        <v>0.91030509640476998</v>
      </c>
      <c r="AL52" s="102">
        <f t="shared" si="70"/>
        <v>0.7889440774662515</v>
      </c>
      <c r="AM52" s="102">
        <f t="shared" si="70"/>
        <v>0.66129896075385886</v>
      </c>
      <c r="AN52" s="102">
        <f t="shared" si="70"/>
        <v>0.52704435443109443</v>
      </c>
      <c r="AO52" s="102">
        <f t="shared" si="70"/>
        <v>0.38583801780724652</v>
      </c>
      <c r="AP52" s="102">
        <f t="shared" si="70"/>
        <v>0.23731998890035674</v>
      </c>
      <c r="AQ52" s="102">
        <f t="shared" si="70"/>
        <v>8.1111666825223264E-2</v>
      </c>
      <c r="AR52" s="102"/>
      <c r="AS52" s="102"/>
      <c r="AT52" s="102"/>
      <c r="AU52" s="102"/>
      <c r="AV52" s="102"/>
      <c r="AW52" s="102"/>
      <c r="AX52" s="102"/>
      <c r="AY52" s="102"/>
      <c r="AZ52" s="102"/>
      <c r="BA52" s="102"/>
      <c r="BB52" s="102"/>
      <c r="BC52" s="102"/>
      <c r="BD52" s="102"/>
      <c r="BE52" s="102"/>
      <c r="BF52" s="102"/>
      <c r="BG52" s="102"/>
      <c r="BH52" s="102"/>
      <c r="BI52" s="102"/>
    </row>
    <row r="53" spans="1:61" s="17" customFormat="1" hidden="1" outlineLevel="1" x14ac:dyDescent="0.25">
      <c r="A53" s="16" t="str">
        <f t="shared" si="67"/>
        <v>Interest</v>
      </c>
      <c r="B53" s="101">
        <f t="shared" si="68"/>
        <v>13.709652743368387</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f>+AC56*$AB$9/2</f>
        <v>1.6490666239661622</v>
      </c>
      <c r="AD53" s="102">
        <f t="shared" ref="AD53:AQ53" si="71">+AD56*$AB$9/2</f>
        <v>1.5659588243181344</v>
      </c>
      <c r="AE53" s="102">
        <f t="shared" si="71"/>
        <v>1.4785476862231515</v>
      </c>
      <c r="AF53" s="102">
        <f t="shared" si="71"/>
        <v>1.3866103819578535</v>
      </c>
      <c r="AG53" s="102">
        <f t="shared" si="71"/>
        <v>1.2899125457349072</v>
      </c>
      <c r="AH53" s="102">
        <f t="shared" si="71"/>
        <v>1.1882076762597524</v>
      </c>
      <c r="AI53" s="102">
        <f t="shared" si="71"/>
        <v>1.0812365083516158</v>
      </c>
      <c r="AJ53" s="102">
        <f t="shared" si="71"/>
        <v>0.96872635202693658</v>
      </c>
      <c r="AK53" s="102">
        <f t="shared" si="71"/>
        <v>0.85039039736039979</v>
      </c>
      <c r="AL53" s="102">
        <f t="shared" si="71"/>
        <v>0.72592698335153494</v>
      </c>
      <c r="AM53" s="102">
        <f t="shared" si="71"/>
        <v>0.59501882893308167</v>
      </c>
      <c r="AN53" s="102">
        <f t="shared" si="71"/>
        <v>0.4573322241608147</v>
      </c>
      <c r="AO53" s="102">
        <f t="shared" si="71"/>
        <v>0.31251617952301691</v>
      </c>
      <c r="AP53" s="102">
        <f t="shared" si="71"/>
        <v>0.16020153120102715</v>
      </c>
      <c r="AQ53" s="102">
        <f t="shared" si="71"/>
        <v>5.9032537588369186E-16</v>
      </c>
      <c r="AR53" s="102"/>
      <c r="AS53" s="102"/>
      <c r="AT53" s="102"/>
      <c r="AU53" s="102"/>
      <c r="AV53" s="102"/>
      <c r="AW53" s="102"/>
      <c r="AX53" s="102"/>
      <c r="AY53" s="102"/>
      <c r="AZ53" s="102"/>
      <c r="BA53" s="102"/>
      <c r="BB53" s="102"/>
      <c r="BC53" s="102"/>
      <c r="BD53" s="102"/>
      <c r="BE53" s="102"/>
      <c r="BF53" s="102"/>
      <c r="BG53" s="102"/>
      <c r="BH53" s="102"/>
      <c r="BI53" s="102"/>
    </row>
    <row r="54" spans="1:61" s="17" customFormat="1" hidden="1" outlineLevel="1" x14ac:dyDescent="0.25">
      <c r="A54" s="16" t="str">
        <f t="shared" si="67"/>
        <v xml:space="preserve">Debt Servicing </v>
      </c>
      <c r="B54" s="101">
        <f t="shared" si="68"/>
        <v>52.065245025751544</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f>-PMT($AB$9/2,$AB$10*2,AB49)</f>
        <v>3.2540778141094711</v>
      </c>
      <c r="AC54" s="102">
        <f t="shared" ref="AC54:AQ54" si="72">+AB54</f>
        <v>3.2540778141094711</v>
      </c>
      <c r="AD54" s="102">
        <f t="shared" si="72"/>
        <v>3.2540778141094711</v>
      </c>
      <c r="AE54" s="102">
        <f t="shared" si="72"/>
        <v>3.2540778141094711</v>
      </c>
      <c r="AF54" s="102">
        <f t="shared" si="72"/>
        <v>3.2540778141094711</v>
      </c>
      <c r="AG54" s="102">
        <f t="shared" si="72"/>
        <v>3.2540778141094711</v>
      </c>
      <c r="AH54" s="102">
        <f t="shared" si="72"/>
        <v>3.2540778141094711</v>
      </c>
      <c r="AI54" s="102">
        <f t="shared" si="72"/>
        <v>3.2540778141094711</v>
      </c>
      <c r="AJ54" s="102">
        <f t="shared" si="72"/>
        <v>3.2540778141094711</v>
      </c>
      <c r="AK54" s="102">
        <f t="shared" si="72"/>
        <v>3.2540778141094711</v>
      </c>
      <c r="AL54" s="102">
        <f t="shared" si="72"/>
        <v>3.2540778141094711</v>
      </c>
      <c r="AM54" s="102">
        <f t="shared" si="72"/>
        <v>3.2540778141094711</v>
      </c>
      <c r="AN54" s="102">
        <f t="shared" si="72"/>
        <v>3.2540778141094711</v>
      </c>
      <c r="AO54" s="102">
        <f t="shared" si="72"/>
        <v>3.2540778141094711</v>
      </c>
      <c r="AP54" s="102">
        <f t="shared" si="72"/>
        <v>3.2540778141094711</v>
      </c>
      <c r="AQ54" s="102">
        <f t="shared" si="72"/>
        <v>3.2540778141094711</v>
      </c>
      <c r="AR54" s="102"/>
      <c r="AS54" s="102"/>
      <c r="AT54" s="102"/>
      <c r="AU54" s="102"/>
      <c r="AV54" s="102"/>
      <c r="AW54" s="102"/>
      <c r="AX54" s="102"/>
      <c r="AY54" s="102"/>
      <c r="AZ54" s="102"/>
      <c r="BA54" s="102"/>
      <c r="BB54" s="102"/>
      <c r="BC54" s="102"/>
      <c r="BD54" s="102"/>
      <c r="BE54" s="102"/>
      <c r="BF54" s="102"/>
      <c r="BG54" s="102"/>
      <c r="BH54" s="102"/>
      <c r="BI54" s="102"/>
    </row>
    <row r="55" spans="1:61" s="17" customFormat="1" hidden="1" outlineLevel="1" x14ac:dyDescent="0.25">
      <c r="A55" s="16" t="str">
        <f t="shared" si="67"/>
        <v xml:space="preserve">Debt Servicing </v>
      </c>
      <c r="B55" s="101">
        <f t="shared" si="68"/>
        <v>45.5570893975326</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f t="shared" ref="AC55:AP55" si="73">+AC54</f>
        <v>3.2540778141094711</v>
      </c>
      <c r="AD55" s="102">
        <f t="shared" si="73"/>
        <v>3.2540778141094711</v>
      </c>
      <c r="AE55" s="102">
        <f t="shared" si="73"/>
        <v>3.2540778141094711</v>
      </c>
      <c r="AF55" s="102">
        <f t="shared" si="73"/>
        <v>3.2540778141094711</v>
      </c>
      <c r="AG55" s="102">
        <f t="shared" si="73"/>
        <v>3.2540778141094711</v>
      </c>
      <c r="AH55" s="102">
        <f t="shared" si="73"/>
        <v>3.2540778141094711</v>
      </c>
      <c r="AI55" s="102">
        <f t="shared" si="73"/>
        <v>3.2540778141094711</v>
      </c>
      <c r="AJ55" s="102">
        <f t="shared" si="73"/>
        <v>3.2540778141094711</v>
      </c>
      <c r="AK55" s="102">
        <f t="shared" si="73"/>
        <v>3.2540778141094711</v>
      </c>
      <c r="AL55" s="102">
        <f t="shared" si="73"/>
        <v>3.2540778141094711</v>
      </c>
      <c r="AM55" s="102">
        <f t="shared" si="73"/>
        <v>3.2540778141094711</v>
      </c>
      <c r="AN55" s="102">
        <f t="shared" si="73"/>
        <v>3.2540778141094711</v>
      </c>
      <c r="AO55" s="102">
        <f t="shared" si="73"/>
        <v>3.2540778141094711</v>
      </c>
      <c r="AP55" s="102">
        <f t="shared" si="73"/>
        <v>3.2540778141094711</v>
      </c>
      <c r="AQ55" s="102"/>
      <c r="AR55" s="102"/>
      <c r="AS55" s="102"/>
      <c r="AT55" s="102"/>
      <c r="AU55" s="102"/>
      <c r="AV55" s="102"/>
      <c r="AW55" s="102"/>
      <c r="AX55" s="102"/>
      <c r="AY55" s="102"/>
      <c r="AZ55" s="102"/>
      <c r="BA55" s="102"/>
      <c r="BB55" s="102"/>
      <c r="BC55" s="102"/>
      <c r="BD55" s="102"/>
      <c r="BE55" s="102"/>
      <c r="BF55" s="102"/>
      <c r="BG55" s="102"/>
      <c r="BH55" s="102"/>
      <c r="BI55" s="102"/>
    </row>
    <row r="56" spans="1:61" s="17" customFormat="1" hidden="1" outlineLevel="1" x14ac:dyDescent="0.25">
      <c r="A56" s="16" t="str">
        <f t="shared" si="67"/>
        <v>Balance mid year</v>
      </c>
      <c r="B56" s="101">
        <f t="shared" si="68"/>
        <v>536.30095087878976</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v>0</v>
      </c>
      <c r="AC56" s="102">
        <f t="shared" ref="AC56:AQ56" si="74">+AB57-AC50</f>
        <v>64.50900070560337</v>
      </c>
      <c r="AD56" s="102">
        <f t="shared" si="74"/>
        <v>61.257948851044837</v>
      </c>
      <c r="AE56" s="102">
        <f t="shared" si="74"/>
        <v>57.838556882826488</v>
      </c>
      <c r="AF56" s="102">
        <f t="shared" si="74"/>
        <v>54.242108116276789</v>
      </c>
      <c r="AG56" s="102">
        <f t="shared" si="74"/>
        <v>50.459434515052806</v>
      </c>
      <c r="AH56" s="102">
        <f t="shared" si="74"/>
        <v>46.480893320060623</v>
      </c>
      <c r="AI56" s="102">
        <f t="shared" si="74"/>
        <v>42.296342468216565</v>
      </c>
      <c r="AJ56" s="102">
        <f t="shared" si="74"/>
        <v>37.895114738387015</v>
      </c>
      <c r="AK56" s="102">
        <f t="shared" si="74"/>
        <v>33.265990558599775</v>
      </c>
      <c r="AL56" s="102">
        <f t="shared" si="74"/>
        <v>28.397169405207482</v>
      </c>
      <c r="AM56" s="102">
        <f t="shared" si="74"/>
        <v>23.276239721093933</v>
      </c>
      <c r="AN56" s="102">
        <f t="shared" si="74"/>
        <v>17.890147276239166</v>
      </c>
      <c r="AO56" s="102">
        <f t="shared" si="74"/>
        <v>12.225161889988284</v>
      </c>
      <c r="AP56" s="102">
        <f t="shared" si="74"/>
        <v>6.2668424301927148</v>
      </c>
      <c r="AQ56" s="102">
        <f t="shared" si="74"/>
        <v>2.3092638912203256E-14</v>
      </c>
      <c r="AR56" s="102"/>
      <c r="AS56" s="102"/>
      <c r="AT56" s="102"/>
      <c r="AU56" s="102"/>
      <c r="AV56" s="102"/>
      <c r="AW56" s="102"/>
      <c r="AX56" s="102"/>
      <c r="AY56" s="102"/>
      <c r="AZ56" s="102"/>
      <c r="BA56" s="102"/>
      <c r="BB56" s="102"/>
      <c r="BC56" s="102"/>
      <c r="BD56" s="102"/>
      <c r="BE56" s="102"/>
      <c r="BF56" s="102"/>
      <c r="BG56" s="102"/>
      <c r="BH56" s="102"/>
      <c r="BI56" s="102"/>
    </row>
    <row r="57" spans="1:61" s="17" customFormat="1" hidden="1" outlineLevel="1" x14ac:dyDescent="0.25">
      <c r="A57" s="16" t="str">
        <f t="shared" si="67"/>
        <v>Balance</v>
      </c>
      <c r="B57" s="101">
        <f t="shared" si="68"/>
        <v>570.52751935337312</v>
      </c>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f>+AB49-AB50</f>
        <v>66.074005128747686</v>
      </c>
      <c r="AC57" s="102">
        <f t="shared" ref="AC57:AQ57" si="75">+AC56-AC51</f>
        <v>62.903989515460061</v>
      </c>
      <c r="AD57" s="102">
        <f t="shared" si="75"/>
        <v>59.569829861253503</v>
      </c>
      <c r="AE57" s="102">
        <f t="shared" si="75"/>
        <v>56.063026754940168</v>
      </c>
      <c r="AF57" s="102">
        <f t="shared" si="75"/>
        <v>52.374640684125168</v>
      </c>
      <c r="AG57" s="102">
        <f t="shared" si="75"/>
        <v>48.495269246678241</v>
      </c>
      <c r="AH57" s="102">
        <f t="shared" si="75"/>
        <v>44.415023182210902</v>
      </c>
      <c r="AI57" s="102">
        <f t="shared" si="75"/>
        <v>40.123501162458709</v>
      </c>
      <c r="AJ57" s="102">
        <f t="shared" si="75"/>
        <v>35.609763276304477</v>
      </c>
      <c r="AK57" s="102">
        <f t="shared" si="75"/>
        <v>30.862303141850703</v>
      </c>
      <c r="AL57" s="102">
        <f t="shared" si="75"/>
        <v>25.869018574449544</v>
      </c>
      <c r="AM57" s="102">
        <f t="shared" si="75"/>
        <v>20.617180735917543</v>
      </c>
      <c r="AN57" s="102">
        <f t="shared" si="75"/>
        <v>15.093401686290509</v>
      </c>
      <c r="AO57" s="102">
        <f t="shared" si="75"/>
        <v>9.2836002554018293</v>
      </c>
      <c r="AP57" s="102">
        <f t="shared" si="75"/>
        <v>3.1729661472842707</v>
      </c>
      <c r="AQ57" s="102">
        <f t="shared" si="75"/>
        <v>2.3682964288086947E-14</v>
      </c>
      <c r="AR57" s="102"/>
      <c r="AS57" s="102"/>
      <c r="AT57" s="102"/>
      <c r="AU57" s="102"/>
      <c r="AV57" s="102"/>
      <c r="AW57" s="102"/>
      <c r="AX57" s="102"/>
      <c r="AY57" s="102"/>
      <c r="AZ57" s="102"/>
      <c r="BA57" s="102"/>
      <c r="BB57" s="102"/>
      <c r="BC57" s="102"/>
      <c r="BD57" s="102"/>
      <c r="BE57" s="102"/>
      <c r="BF57" s="102"/>
      <c r="BG57" s="102"/>
      <c r="BH57" s="102"/>
      <c r="BI57" s="102"/>
    </row>
    <row r="58" spans="1:61" s="17" customFormat="1" hidden="1" outlineLevel="1" x14ac:dyDescent="0.25">
      <c r="A58" s="16"/>
      <c r="B58" s="101">
        <f t="shared" si="68"/>
        <v>0</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row>
    <row r="59" spans="1:61" hidden="1" outlineLevel="1" x14ac:dyDescent="0.25">
      <c r="A59" s="20" t="str">
        <f t="shared" ref="A59:A67" si="76">A49</f>
        <v>Debt Forecasted</v>
      </c>
      <c r="B59" s="101">
        <f t="shared" si="68"/>
        <v>0</v>
      </c>
      <c r="C59" s="102">
        <v>0</v>
      </c>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f>+AC$8</f>
        <v>0</v>
      </c>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row>
    <row r="60" spans="1:61" s="17" customFormat="1" hidden="1" outlineLevel="1" x14ac:dyDescent="0.25">
      <c r="A60" s="16" t="str">
        <f t="shared" si="76"/>
        <v>Principal</v>
      </c>
      <c r="B60" s="101">
        <f t="shared" si="68"/>
        <v>0</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f>+AC64-AC62</f>
        <v>0</v>
      </c>
      <c r="AD60" s="102">
        <f>+AD64-AD62</f>
        <v>0</v>
      </c>
      <c r="AE60" s="102">
        <f t="shared" ref="AE60:AR61" si="77">+AE64-AE62</f>
        <v>0</v>
      </c>
      <c r="AF60" s="102">
        <f t="shared" si="77"/>
        <v>0</v>
      </c>
      <c r="AG60" s="102">
        <f t="shared" si="77"/>
        <v>0</v>
      </c>
      <c r="AH60" s="102">
        <f t="shared" si="77"/>
        <v>0</v>
      </c>
      <c r="AI60" s="102">
        <f t="shared" si="77"/>
        <v>0</v>
      </c>
      <c r="AJ60" s="102">
        <f t="shared" si="77"/>
        <v>0</v>
      </c>
      <c r="AK60" s="102">
        <f t="shared" si="77"/>
        <v>0</v>
      </c>
      <c r="AL60" s="102">
        <f t="shared" si="77"/>
        <v>0</v>
      </c>
      <c r="AM60" s="102">
        <f t="shared" si="77"/>
        <v>0</v>
      </c>
      <c r="AN60" s="102">
        <f t="shared" si="77"/>
        <v>0</v>
      </c>
      <c r="AO60" s="102">
        <f t="shared" si="77"/>
        <v>0</v>
      </c>
      <c r="AP60" s="102">
        <f t="shared" si="77"/>
        <v>0</v>
      </c>
      <c r="AQ60" s="102">
        <f t="shared" si="77"/>
        <v>0</v>
      </c>
      <c r="AR60" s="102">
        <f t="shared" si="77"/>
        <v>0</v>
      </c>
      <c r="AS60" s="102"/>
      <c r="AT60" s="102"/>
      <c r="AU60" s="102"/>
      <c r="AV60" s="102"/>
      <c r="AW60" s="102"/>
      <c r="AX60" s="102"/>
      <c r="AY60" s="102"/>
      <c r="AZ60" s="102"/>
      <c r="BA60" s="102"/>
      <c r="BB60" s="102"/>
      <c r="BC60" s="102"/>
      <c r="BD60" s="102"/>
      <c r="BE60" s="102"/>
      <c r="BF60" s="102"/>
      <c r="BG60" s="102"/>
      <c r="BH60" s="102"/>
      <c r="BI60" s="102"/>
    </row>
    <row r="61" spans="1:61" s="17" customFormat="1" hidden="1" outlineLevel="1" x14ac:dyDescent="0.25">
      <c r="A61" s="16" t="str">
        <f t="shared" si="76"/>
        <v>Principal</v>
      </c>
      <c r="B61" s="101">
        <f t="shared" si="68"/>
        <v>0</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f>+AD65-AD63</f>
        <v>0</v>
      </c>
      <c r="AE61" s="102">
        <f t="shared" si="77"/>
        <v>0</v>
      </c>
      <c r="AF61" s="102">
        <f t="shared" si="77"/>
        <v>0</v>
      </c>
      <c r="AG61" s="102">
        <f t="shared" si="77"/>
        <v>0</v>
      </c>
      <c r="AH61" s="102">
        <f t="shared" si="77"/>
        <v>0</v>
      </c>
      <c r="AI61" s="102">
        <f t="shared" si="77"/>
        <v>0</v>
      </c>
      <c r="AJ61" s="102">
        <f t="shared" si="77"/>
        <v>0</v>
      </c>
      <c r="AK61" s="102">
        <f t="shared" si="77"/>
        <v>0</v>
      </c>
      <c r="AL61" s="102">
        <f t="shared" si="77"/>
        <v>0</v>
      </c>
      <c r="AM61" s="102">
        <f t="shared" si="77"/>
        <v>0</v>
      </c>
      <c r="AN61" s="102">
        <f t="shared" si="77"/>
        <v>0</v>
      </c>
      <c r="AO61" s="102">
        <f t="shared" si="77"/>
        <v>0</v>
      </c>
      <c r="AP61" s="102">
        <f t="shared" si="77"/>
        <v>0</v>
      </c>
      <c r="AQ61" s="102">
        <f t="shared" si="77"/>
        <v>0</v>
      </c>
      <c r="AR61" s="102">
        <f t="shared" si="77"/>
        <v>0</v>
      </c>
      <c r="AS61" s="102"/>
      <c r="AT61" s="102"/>
      <c r="AU61" s="102"/>
      <c r="AV61" s="102"/>
      <c r="AW61" s="102"/>
      <c r="AX61" s="102"/>
      <c r="AY61" s="102"/>
      <c r="AZ61" s="102"/>
      <c r="BA61" s="102"/>
      <c r="BB61" s="102"/>
      <c r="BC61" s="102"/>
      <c r="BD61" s="102"/>
      <c r="BE61" s="102"/>
      <c r="BF61" s="102"/>
      <c r="BG61" s="102"/>
      <c r="BH61" s="102"/>
      <c r="BI61" s="102"/>
    </row>
    <row r="62" spans="1:61" s="17" customFormat="1" hidden="1" outlineLevel="1" x14ac:dyDescent="0.25">
      <c r="A62" s="16" t="str">
        <f t="shared" si="76"/>
        <v>Interest</v>
      </c>
      <c r="B62" s="101">
        <f t="shared" si="68"/>
        <v>0</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f>+AC59*(AC$9/2)</f>
        <v>0</v>
      </c>
      <c r="AD62" s="102">
        <f>+AC67*AC$9/2</f>
        <v>0</v>
      </c>
      <c r="AE62" s="102">
        <f>+AD67*AC$9/2</f>
        <v>0</v>
      </c>
      <c r="AF62" s="102">
        <f>+AE67*AC$9/2</f>
        <v>0</v>
      </c>
      <c r="AG62" s="102">
        <f>+AF67*AC$9/2</f>
        <v>0</v>
      </c>
      <c r="AH62" s="102">
        <f>+AG67*AC$9/2</f>
        <v>0</v>
      </c>
      <c r="AI62" s="102">
        <f>+AH67*AC$9/2</f>
        <v>0</v>
      </c>
      <c r="AJ62" s="102">
        <f>+AI67*AC$9/2</f>
        <v>0</v>
      </c>
      <c r="AK62" s="102">
        <f>+AJ67*AC$9/2</f>
        <v>0</v>
      </c>
      <c r="AL62" s="102">
        <f>+AK67*AC$9/2</f>
        <v>0</v>
      </c>
      <c r="AM62" s="102">
        <f>+AL67*AC$9/2</f>
        <v>0</v>
      </c>
      <c r="AN62" s="102">
        <f>+AM67*AC$9/2</f>
        <v>0</v>
      </c>
      <c r="AO62" s="102">
        <f>+AN67*AC$9/2</f>
        <v>0</v>
      </c>
      <c r="AP62" s="102">
        <f>+AO67*AC$9/2</f>
        <v>0</v>
      </c>
      <c r="AQ62" s="102">
        <f>+AP67*AC$9/2</f>
        <v>0</v>
      </c>
      <c r="AR62" s="102">
        <f>+AQ67*AC$9/2</f>
        <v>0</v>
      </c>
      <c r="AS62" s="102"/>
      <c r="AT62" s="102"/>
      <c r="AU62" s="102"/>
      <c r="AV62" s="102"/>
      <c r="AW62" s="102"/>
      <c r="AX62" s="102"/>
      <c r="AY62" s="102"/>
      <c r="AZ62" s="102"/>
      <c r="BA62" s="102"/>
      <c r="BB62" s="102"/>
      <c r="BC62" s="102"/>
      <c r="BD62" s="102"/>
      <c r="BE62" s="102"/>
      <c r="BF62" s="102"/>
      <c r="BG62" s="102"/>
      <c r="BH62" s="102"/>
      <c r="BI62" s="102"/>
    </row>
    <row r="63" spans="1:61" s="17" customFormat="1" hidden="1" outlineLevel="1" x14ac:dyDescent="0.25">
      <c r="A63" s="16" t="str">
        <f t="shared" si="76"/>
        <v>Interest</v>
      </c>
      <c r="B63" s="101">
        <f t="shared" si="68"/>
        <v>0</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f>+AD66*AC$9/2</f>
        <v>0</v>
      </c>
      <c r="AE63" s="102">
        <f>+AE66*AC$9/2</f>
        <v>0</v>
      </c>
      <c r="AF63" s="102">
        <f>+AF66*AC$9/2</f>
        <v>0</v>
      </c>
      <c r="AG63" s="102">
        <f>+AG66*AC$9/2</f>
        <v>0</v>
      </c>
      <c r="AH63" s="102">
        <f>+AH66*AC$9/2</f>
        <v>0</v>
      </c>
      <c r="AI63" s="102">
        <f>+AI66*AC$9/2</f>
        <v>0</v>
      </c>
      <c r="AJ63" s="102">
        <f>+AJ66*AC$9/2</f>
        <v>0</v>
      </c>
      <c r="AK63" s="102">
        <f>+AK66*AC$9/2</f>
        <v>0</v>
      </c>
      <c r="AL63" s="102">
        <f>+AL66*AC$9/2</f>
        <v>0</v>
      </c>
      <c r="AM63" s="102">
        <f>+AM66*AC$9/2</f>
        <v>0</v>
      </c>
      <c r="AN63" s="102">
        <f>+AN66*AC$9/2</f>
        <v>0</v>
      </c>
      <c r="AO63" s="102">
        <f>+AO66*AC$9/2</f>
        <v>0</v>
      </c>
      <c r="AP63" s="102">
        <f>+AP66*AC$9/2</f>
        <v>0</v>
      </c>
      <c r="AQ63" s="102">
        <f>+AQ66*AC$9/2</f>
        <v>0</v>
      </c>
      <c r="AR63" s="102">
        <f>+AR66*AC$9/2</f>
        <v>0</v>
      </c>
      <c r="AS63" s="102"/>
      <c r="AT63" s="102"/>
      <c r="AU63" s="102"/>
      <c r="AV63" s="102"/>
      <c r="AW63" s="102"/>
      <c r="AX63" s="102"/>
      <c r="AY63" s="102"/>
      <c r="AZ63" s="102"/>
      <c r="BA63" s="102"/>
      <c r="BB63" s="102"/>
      <c r="BC63" s="102"/>
      <c r="BD63" s="102"/>
      <c r="BE63" s="102"/>
      <c r="BF63" s="102"/>
      <c r="BG63" s="102"/>
      <c r="BH63" s="102"/>
      <c r="BI63" s="102"/>
    </row>
    <row r="64" spans="1:61" s="17" customFormat="1" hidden="1" outlineLevel="1" x14ac:dyDescent="0.25">
      <c r="A64" s="16" t="str">
        <f t="shared" si="76"/>
        <v xml:space="preserve">Debt Servicing </v>
      </c>
      <c r="B64" s="101">
        <f t="shared" si="68"/>
        <v>0</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f>-PMT($AC$9/2,$AC$10*2,AC59)</f>
        <v>0</v>
      </c>
      <c r="AD64" s="102">
        <f t="shared" ref="AD64:AR64" si="78">+AC64</f>
        <v>0</v>
      </c>
      <c r="AE64" s="102">
        <f t="shared" si="78"/>
        <v>0</v>
      </c>
      <c r="AF64" s="102">
        <f t="shared" si="78"/>
        <v>0</v>
      </c>
      <c r="AG64" s="102">
        <f t="shared" si="78"/>
        <v>0</v>
      </c>
      <c r="AH64" s="102">
        <f t="shared" si="78"/>
        <v>0</v>
      </c>
      <c r="AI64" s="102">
        <f t="shared" si="78"/>
        <v>0</v>
      </c>
      <c r="AJ64" s="102">
        <f t="shared" si="78"/>
        <v>0</v>
      </c>
      <c r="AK64" s="102">
        <f t="shared" si="78"/>
        <v>0</v>
      </c>
      <c r="AL64" s="102">
        <f t="shared" si="78"/>
        <v>0</v>
      </c>
      <c r="AM64" s="102">
        <f t="shared" si="78"/>
        <v>0</v>
      </c>
      <c r="AN64" s="102">
        <f t="shared" si="78"/>
        <v>0</v>
      </c>
      <c r="AO64" s="102">
        <f t="shared" si="78"/>
        <v>0</v>
      </c>
      <c r="AP64" s="102">
        <f t="shared" si="78"/>
        <v>0</v>
      </c>
      <c r="AQ64" s="102">
        <f t="shared" si="78"/>
        <v>0</v>
      </c>
      <c r="AR64" s="102">
        <f t="shared" si="78"/>
        <v>0</v>
      </c>
      <c r="AS64" s="102"/>
      <c r="AT64" s="102"/>
      <c r="AU64" s="102"/>
      <c r="AV64" s="102"/>
      <c r="AW64" s="102"/>
      <c r="AX64" s="102"/>
      <c r="AY64" s="102"/>
      <c r="AZ64" s="102"/>
      <c r="BA64" s="102"/>
      <c r="BB64" s="102"/>
      <c r="BC64" s="102"/>
      <c r="BD64" s="102"/>
      <c r="BE64" s="102"/>
      <c r="BF64" s="102"/>
      <c r="BG64" s="102"/>
      <c r="BH64" s="102"/>
      <c r="BI64" s="102"/>
    </row>
    <row r="65" spans="1:61" s="17" customFormat="1" hidden="1" outlineLevel="1" x14ac:dyDescent="0.25">
      <c r="A65" s="16" t="str">
        <f t="shared" si="76"/>
        <v xml:space="preserve">Debt Servicing </v>
      </c>
      <c r="B65" s="101">
        <f t="shared" si="68"/>
        <v>0</v>
      </c>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f t="shared" ref="AD65:AQ65" si="79">+AD64</f>
        <v>0</v>
      </c>
      <c r="AE65" s="102">
        <f t="shared" si="79"/>
        <v>0</v>
      </c>
      <c r="AF65" s="102">
        <f t="shared" si="79"/>
        <v>0</v>
      </c>
      <c r="AG65" s="102">
        <f t="shared" si="79"/>
        <v>0</v>
      </c>
      <c r="AH65" s="102">
        <f t="shared" si="79"/>
        <v>0</v>
      </c>
      <c r="AI65" s="102">
        <f t="shared" si="79"/>
        <v>0</v>
      </c>
      <c r="AJ65" s="102">
        <f t="shared" si="79"/>
        <v>0</v>
      </c>
      <c r="AK65" s="102">
        <f t="shared" si="79"/>
        <v>0</v>
      </c>
      <c r="AL65" s="102">
        <f t="shared" si="79"/>
        <v>0</v>
      </c>
      <c r="AM65" s="102">
        <f t="shared" si="79"/>
        <v>0</v>
      </c>
      <c r="AN65" s="102">
        <f t="shared" si="79"/>
        <v>0</v>
      </c>
      <c r="AO65" s="102">
        <f t="shared" si="79"/>
        <v>0</v>
      </c>
      <c r="AP65" s="102">
        <f t="shared" si="79"/>
        <v>0</v>
      </c>
      <c r="AQ65" s="102">
        <f t="shared" si="79"/>
        <v>0</v>
      </c>
      <c r="AR65" s="102"/>
      <c r="AS65" s="102"/>
      <c r="AT65" s="102"/>
      <c r="AU65" s="102"/>
      <c r="AV65" s="102"/>
      <c r="AW65" s="102"/>
      <c r="AX65" s="102"/>
      <c r="AY65" s="102"/>
      <c r="AZ65" s="102"/>
      <c r="BA65" s="102"/>
      <c r="BB65" s="102"/>
      <c r="BC65" s="102"/>
      <c r="BD65" s="102"/>
      <c r="BE65" s="102"/>
      <c r="BF65" s="102"/>
      <c r="BG65" s="102"/>
      <c r="BH65" s="102"/>
      <c r="BI65" s="102"/>
    </row>
    <row r="66" spans="1:61" s="17" customFormat="1" hidden="1" outlineLevel="1" x14ac:dyDescent="0.25">
      <c r="A66" s="16" t="str">
        <f t="shared" si="76"/>
        <v>Balance mid year</v>
      </c>
      <c r="B66" s="101">
        <f t="shared" si="68"/>
        <v>0</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v>0</v>
      </c>
      <c r="AD66" s="102">
        <f t="shared" ref="AD66:AR66" si="80">+AC67-AD60</f>
        <v>0</v>
      </c>
      <c r="AE66" s="102">
        <f t="shared" si="80"/>
        <v>0</v>
      </c>
      <c r="AF66" s="102">
        <f t="shared" si="80"/>
        <v>0</v>
      </c>
      <c r="AG66" s="102">
        <f t="shared" si="80"/>
        <v>0</v>
      </c>
      <c r="AH66" s="102">
        <f t="shared" si="80"/>
        <v>0</v>
      </c>
      <c r="AI66" s="102">
        <f t="shared" si="80"/>
        <v>0</v>
      </c>
      <c r="AJ66" s="102">
        <f t="shared" si="80"/>
        <v>0</v>
      </c>
      <c r="AK66" s="102">
        <f t="shared" si="80"/>
        <v>0</v>
      </c>
      <c r="AL66" s="102">
        <f t="shared" si="80"/>
        <v>0</v>
      </c>
      <c r="AM66" s="102">
        <f t="shared" si="80"/>
        <v>0</v>
      </c>
      <c r="AN66" s="102">
        <f t="shared" si="80"/>
        <v>0</v>
      </c>
      <c r="AO66" s="102">
        <f t="shared" si="80"/>
        <v>0</v>
      </c>
      <c r="AP66" s="102">
        <f t="shared" si="80"/>
        <v>0</v>
      </c>
      <c r="AQ66" s="102">
        <f t="shared" si="80"/>
        <v>0</v>
      </c>
      <c r="AR66" s="102">
        <f t="shared" si="80"/>
        <v>0</v>
      </c>
      <c r="AS66" s="102"/>
      <c r="AT66" s="102"/>
      <c r="AU66" s="102"/>
      <c r="AV66" s="102"/>
      <c r="AW66" s="102"/>
      <c r="AX66" s="102"/>
      <c r="AY66" s="102"/>
      <c r="AZ66" s="102"/>
      <c r="BA66" s="102"/>
      <c r="BB66" s="102"/>
      <c r="BC66" s="102"/>
      <c r="BD66" s="102"/>
      <c r="BE66" s="102"/>
      <c r="BF66" s="102"/>
      <c r="BG66" s="102"/>
      <c r="BH66" s="102"/>
      <c r="BI66" s="102"/>
    </row>
    <row r="67" spans="1:61" s="17" customFormat="1" hidden="1" outlineLevel="1" x14ac:dyDescent="0.25">
      <c r="A67" s="16" t="str">
        <f t="shared" si="76"/>
        <v>Balance</v>
      </c>
      <c r="B67" s="101">
        <f t="shared" si="68"/>
        <v>0</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f>+AC59-AC60</f>
        <v>0</v>
      </c>
      <c r="AD67" s="102">
        <f t="shared" ref="AD67:AR67" si="81">+AD66-AD61</f>
        <v>0</v>
      </c>
      <c r="AE67" s="102">
        <f t="shared" si="81"/>
        <v>0</v>
      </c>
      <c r="AF67" s="102">
        <f t="shared" si="81"/>
        <v>0</v>
      </c>
      <c r="AG67" s="102">
        <f t="shared" si="81"/>
        <v>0</v>
      </c>
      <c r="AH67" s="102">
        <f t="shared" si="81"/>
        <v>0</v>
      </c>
      <c r="AI67" s="102">
        <f t="shared" si="81"/>
        <v>0</v>
      </c>
      <c r="AJ67" s="102">
        <f t="shared" si="81"/>
        <v>0</v>
      </c>
      <c r="AK67" s="102">
        <f t="shared" si="81"/>
        <v>0</v>
      </c>
      <c r="AL67" s="102">
        <f t="shared" si="81"/>
        <v>0</v>
      </c>
      <c r="AM67" s="102">
        <f t="shared" si="81"/>
        <v>0</v>
      </c>
      <c r="AN67" s="102">
        <f t="shared" si="81"/>
        <v>0</v>
      </c>
      <c r="AO67" s="102">
        <f t="shared" si="81"/>
        <v>0</v>
      </c>
      <c r="AP67" s="102">
        <f t="shared" si="81"/>
        <v>0</v>
      </c>
      <c r="AQ67" s="102">
        <f t="shared" si="81"/>
        <v>0</v>
      </c>
      <c r="AR67" s="102">
        <f t="shared" si="81"/>
        <v>0</v>
      </c>
      <c r="AS67" s="102"/>
      <c r="AT67" s="102"/>
      <c r="AU67" s="102"/>
      <c r="AV67" s="102"/>
      <c r="AW67" s="102"/>
      <c r="AX67" s="102"/>
      <c r="AY67" s="102"/>
      <c r="AZ67" s="102"/>
      <c r="BA67" s="102"/>
      <c r="BB67" s="102"/>
      <c r="BC67" s="102"/>
      <c r="BD67" s="102"/>
      <c r="BE67" s="102"/>
      <c r="BF67" s="102"/>
      <c r="BG67" s="102"/>
      <c r="BH67" s="102"/>
      <c r="BI67" s="102"/>
    </row>
    <row r="68" spans="1:61" s="17" customFormat="1" hidden="1" outlineLevel="1" x14ac:dyDescent="0.25">
      <c r="A68" s="16"/>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row>
    <row r="69" spans="1:61" hidden="1" outlineLevel="1" x14ac:dyDescent="0.25">
      <c r="A69" s="20" t="s">
        <v>226</v>
      </c>
      <c r="B69" s="101">
        <f t="shared" ref="B69:B97" si="82">SUM(C69:BB69)</f>
        <v>0</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f>AD8</f>
        <v>0</v>
      </c>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row>
    <row r="70" spans="1:61" s="17" customFormat="1" hidden="1" outlineLevel="1" x14ac:dyDescent="0.25">
      <c r="A70" s="16" t="s">
        <v>163</v>
      </c>
      <c r="B70" s="101">
        <f t="shared" si="82"/>
        <v>0</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f>+AD74-AD72</f>
        <v>0</v>
      </c>
      <c r="AE70" s="102">
        <f>+AE74-AE72</f>
        <v>0</v>
      </c>
      <c r="AF70" s="102">
        <f t="shared" ref="AF70:AS71" si="83">+AF74-AF72</f>
        <v>0</v>
      </c>
      <c r="AG70" s="102">
        <f t="shared" si="83"/>
        <v>0</v>
      </c>
      <c r="AH70" s="102">
        <f t="shared" si="83"/>
        <v>0</v>
      </c>
      <c r="AI70" s="102">
        <f t="shared" si="83"/>
        <v>0</v>
      </c>
      <c r="AJ70" s="102">
        <f t="shared" si="83"/>
        <v>0</v>
      </c>
      <c r="AK70" s="102">
        <f t="shared" si="83"/>
        <v>0</v>
      </c>
      <c r="AL70" s="102">
        <f t="shared" si="83"/>
        <v>0</v>
      </c>
      <c r="AM70" s="102">
        <f t="shared" si="83"/>
        <v>0</v>
      </c>
      <c r="AN70" s="102">
        <f t="shared" si="83"/>
        <v>0</v>
      </c>
      <c r="AO70" s="102">
        <f t="shared" si="83"/>
        <v>0</v>
      </c>
      <c r="AP70" s="102">
        <f t="shared" si="83"/>
        <v>0</v>
      </c>
      <c r="AQ70" s="102">
        <f t="shared" si="83"/>
        <v>0</v>
      </c>
      <c r="AR70" s="102">
        <f t="shared" si="83"/>
        <v>0</v>
      </c>
      <c r="AS70" s="102">
        <f t="shared" si="83"/>
        <v>0</v>
      </c>
      <c r="AT70" s="102"/>
      <c r="AU70" s="102"/>
      <c r="AV70" s="102"/>
      <c r="AW70" s="102"/>
      <c r="AX70" s="102"/>
      <c r="AY70" s="102"/>
      <c r="AZ70" s="102"/>
      <c r="BA70" s="102"/>
      <c r="BB70" s="102"/>
      <c r="BC70" s="102"/>
      <c r="BD70" s="102"/>
      <c r="BE70" s="102"/>
      <c r="BF70" s="102"/>
      <c r="BG70" s="102"/>
      <c r="BH70" s="102"/>
      <c r="BI70" s="102"/>
    </row>
    <row r="71" spans="1:61" s="17" customFormat="1" hidden="1" outlineLevel="1" x14ac:dyDescent="0.25">
      <c r="A71" s="16" t="s">
        <v>163</v>
      </c>
      <c r="B71" s="101">
        <f t="shared" si="82"/>
        <v>0</v>
      </c>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f>+AE75-AE73</f>
        <v>0</v>
      </c>
      <c r="AF71" s="102">
        <f t="shared" si="83"/>
        <v>0</v>
      </c>
      <c r="AG71" s="102">
        <f t="shared" si="83"/>
        <v>0</v>
      </c>
      <c r="AH71" s="102">
        <f t="shared" si="83"/>
        <v>0</v>
      </c>
      <c r="AI71" s="102">
        <f t="shared" si="83"/>
        <v>0</v>
      </c>
      <c r="AJ71" s="102">
        <f t="shared" si="83"/>
        <v>0</v>
      </c>
      <c r="AK71" s="102">
        <f t="shared" si="83"/>
        <v>0</v>
      </c>
      <c r="AL71" s="102">
        <f t="shared" si="83"/>
        <v>0</v>
      </c>
      <c r="AM71" s="102">
        <f t="shared" si="83"/>
        <v>0</v>
      </c>
      <c r="AN71" s="102">
        <f t="shared" si="83"/>
        <v>0</v>
      </c>
      <c r="AO71" s="102">
        <f t="shared" si="83"/>
        <v>0</v>
      </c>
      <c r="AP71" s="102">
        <f t="shared" si="83"/>
        <v>0</v>
      </c>
      <c r="AQ71" s="102">
        <f t="shared" si="83"/>
        <v>0</v>
      </c>
      <c r="AR71" s="102">
        <f t="shared" si="83"/>
        <v>0</v>
      </c>
      <c r="AS71" s="102">
        <f t="shared" si="83"/>
        <v>0</v>
      </c>
      <c r="AT71" s="102"/>
      <c r="AU71" s="102"/>
      <c r="AV71" s="102"/>
      <c r="AW71" s="102"/>
      <c r="AX71" s="102"/>
      <c r="AY71" s="102"/>
      <c r="AZ71" s="102"/>
      <c r="BA71" s="102"/>
      <c r="BB71" s="102"/>
      <c r="BC71" s="102"/>
      <c r="BD71" s="102"/>
      <c r="BE71" s="102"/>
      <c r="BF71" s="102"/>
      <c r="BG71" s="102"/>
      <c r="BH71" s="102"/>
      <c r="BI71" s="102"/>
    </row>
    <row r="72" spans="1:61" s="17" customFormat="1" hidden="1" outlineLevel="1" x14ac:dyDescent="0.25">
      <c r="A72" s="16" t="s">
        <v>164</v>
      </c>
      <c r="B72" s="101">
        <f t="shared" si="82"/>
        <v>0</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f>AD69*AD9/2</f>
        <v>0</v>
      </c>
      <c r="AE72" s="102">
        <f>+AD77*$AD$9/2</f>
        <v>0</v>
      </c>
      <c r="AF72" s="102">
        <f t="shared" ref="AF72:AS72" si="84">+AE77*$AD$9/2</f>
        <v>0</v>
      </c>
      <c r="AG72" s="102">
        <f t="shared" si="84"/>
        <v>0</v>
      </c>
      <c r="AH72" s="102">
        <f t="shared" si="84"/>
        <v>0</v>
      </c>
      <c r="AI72" s="102">
        <f t="shared" si="84"/>
        <v>0</v>
      </c>
      <c r="AJ72" s="102">
        <f t="shared" si="84"/>
        <v>0</v>
      </c>
      <c r="AK72" s="102">
        <f t="shared" si="84"/>
        <v>0</v>
      </c>
      <c r="AL72" s="102">
        <f t="shared" si="84"/>
        <v>0</v>
      </c>
      <c r="AM72" s="102">
        <f t="shared" si="84"/>
        <v>0</v>
      </c>
      <c r="AN72" s="102">
        <f t="shared" si="84"/>
        <v>0</v>
      </c>
      <c r="AO72" s="102">
        <f t="shared" si="84"/>
        <v>0</v>
      </c>
      <c r="AP72" s="102">
        <f t="shared" si="84"/>
        <v>0</v>
      </c>
      <c r="AQ72" s="102">
        <f t="shared" si="84"/>
        <v>0</v>
      </c>
      <c r="AR72" s="102">
        <f t="shared" si="84"/>
        <v>0</v>
      </c>
      <c r="AS72" s="102">
        <f t="shared" si="84"/>
        <v>0</v>
      </c>
      <c r="AT72" s="102"/>
      <c r="AU72" s="102"/>
      <c r="AV72" s="102"/>
      <c r="AW72" s="102"/>
      <c r="AX72" s="102"/>
      <c r="AY72" s="102"/>
      <c r="AZ72" s="102"/>
      <c r="BA72" s="102"/>
      <c r="BB72" s="102"/>
      <c r="BC72" s="102"/>
      <c r="BD72" s="102"/>
      <c r="BE72" s="102"/>
      <c r="BF72" s="102"/>
      <c r="BG72" s="102"/>
      <c r="BH72" s="102"/>
      <c r="BI72" s="102"/>
    </row>
    <row r="73" spans="1:61" s="17" customFormat="1" hidden="1" outlineLevel="1" x14ac:dyDescent="0.25">
      <c r="A73" s="16" t="s">
        <v>164</v>
      </c>
      <c r="B73" s="101">
        <f t="shared" si="82"/>
        <v>0</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f>+AE76*$AD$9/2</f>
        <v>0</v>
      </c>
      <c r="AF73" s="102">
        <f t="shared" ref="AF73:AS73" si="85">+AF76*$AD$9/2</f>
        <v>0</v>
      </c>
      <c r="AG73" s="102">
        <f t="shared" si="85"/>
        <v>0</v>
      </c>
      <c r="AH73" s="102">
        <f t="shared" si="85"/>
        <v>0</v>
      </c>
      <c r="AI73" s="102">
        <f t="shared" si="85"/>
        <v>0</v>
      </c>
      <c r="AJ73" s="102">
        <f t="shared" si="85"/>
        <v>0</v>
      </c>
      <c r="AK73" s="102">
        <f t="shared" si="85"/>
        <v>0</v>
      </c>
      <c r="AL73" s="102">
        <f t="shared" si="85"/>
        <v>0</v>
      </c>
      <c r="AM73" s="102">
        <f t="shared" si="85"/>
        <v>0</v>
      </c>
      <c r="AN73" s="102">
        <f t="shared" si="85"/>
        <v>0</v>
      </c>
      <c r="AO73" s="102">
        <f t="shared" si="85"/>
        <v>0</v>
      </c>
      <c r="AP73" s="102">
        <f t="shared" si="85"/>
        <v>0</v>
      </c>
      <c r="AQ73" s="102">
        <f t="shared" si="85"/>
        <v>0</v>
      </c>
      <c r="AR73" s="102">
        <f t="shared" si="85"/>
        <v>0</v>
      </c>
      <c r="AS73" s="102">
        <f t="shared" si="85"/>
        <v>0</v>
      </c>
      <c r="AT73" s="102"/>
      <c r="AU73" s="102"/>
      <c r="AV73" s="102"/>
      <c r="AW73" s="102"/>
      <c r="AX73" s="102"/>
      <c r="AY73" s="102"/>
      <c r="AZ73" s="102"/>
      <c r="BA73" s="102"/>
      <c r="BB73" s="102"/>
      <c r="BC73" s="102"/>
      <c r="BD73" s="102"/>
      <c r="BE73" s="102"/>
      <c r="BF73" s="102"/>
      <c r="BG73" s="102"/>
      <c r="BH73" s="102"/>
      <c r="BI73" s="102"/>
    </row>
    <row r="74" spans="1:61" s="17" customFormat="1" hidden="1" outlineLevel="1" x14ac:dyDescent="0.25">
      <c r="A74" s="16" t="s">
        <v>220</v>
      </c>
      <c r="B74" s="101">
        <f t="shared" si="82"/>
        <v>0</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f>-PMT(AD9/2,AD10*2,AD8)</f>
        <v>0</v>
      </c>
      <c r="AE74" s="102">
        <f>+AD74</f>
        <v>0</v>
      </c>
      <c r="AF74" s="102">
        <f t="shared" ref="AF74:AS74" si="86">+AE74</f>
        <v>0</v>
      </c>
      <c r="AG74" s="102">
        <f t="shared" si="86"/>
        <v>0</v>
      </c>
      <c r="AH74" s="102">
        <f t="shared" si="86"/>
        <v>0</v>
      </c>
      <c r="AI74" s="102">
        <f t="shared" si="86"/>
        <v>0</v>
      </c>
      <c r="AJ74" s="102">
        <f t="shared" si="86"/>
        <v>0</v>
      </c>
      <c r="AK74" s="102">
        <f t="shared" si="86"/>
        <v>0</v>
      </c>
      <c r="AL74" s="102">
        <f t="shared" si="86"/>
        <v>0</v>
      </c>
      <c r="AM74" s="102">
        <f t="shared" si="86"/>
        <v>0</v>
      </c>
      <c r="AN74" s="102">
        <f t="shared" si="86"/>
        <v>0</v>
      </c>
      <c r="AO74" s="102">
        <f t="shared" si="86"/>
        <v>0</v>
      </c>
      <c r="AP74" s="102">
        <f t="shared" si="86"/>
        <v>0</v>
      </c>
      <c r="AQ74" s="102">
        <f t="shared" si="86"/>
        <v>0</v>
      </c>
      <c r="AR74" s="102">
        <f t="shared" si="86"/>
        <v>0</v>
      </c>
      <c r="AS74" s="102">
        <f t="shared" si="86"/>
        <v>0</v>
      </c>
      <c r="AT74" s="102"/>
      <c r="AU74" s="102"/>
      <c r="AV74" s="102"/>
      <c r="AW74" s="102"/>
      <c r="AX74" s="102"/>
      <c r="AY74" s="102"/>
      <c r="AZ74" s="102"/>
      <c r="BA74" s="102"/>
      <c r="BB74" s="102"/>
      <c r="BC74" s="102"/>
      <c r="BD74" s="102"/>
      <c r="BE74" s="102"/>
      <c r="BF74" s="102"/>
      <c r="BG74" s="102"/>
      <c r="BH74" s="102"/>
      <c r="BI74" s="102"/>
    </row>
    <row r="75" spans="1:61" s="17" customFormat="1" hidden="1" outlineLevel="1" x14ac:dyDescent="0.25">
      <c r="A75" s="16" t="s">
        <v>220</v>
      </c>
      <c r="B75" s="101">
        <f t="shared" si="82"/>
        <v>0</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f>+AE74</f>
        <v>0</v>
      </c>
      <c r="AF75" s="102">
        <f t="shared" ref="AF75:AR75" si="87">+AF74</f>
        <v>0</v>
      </c>
      <c r="AG75" s="102">
        <f t="shared" si="87"/>
        <v>0</v>
      </c>
      <c r="AH75" s="102">
        <f t="shared" si="87"/>
        <v>0</v>
      </c>
      <c r="AI75" s="102">
        <f t="shared" si="87"/>
        <v>0</v>
      </c>
      <c r="AJ75" s="102">
        <f t="shared" si="87"/>
        <v>0</v>
      </c>
      <c r="AK75" s="102">
        <f t="shared" si="87"/>
        <v>0</v>
      </c>
      <c r="AL75" s="102">
        <f t="shared" si="87"/>
        <v>0</v>
      </c>
      <c r="AM75" s="102">
        <f t="shared" si="87"/>
        <v>0</v>
      </c>
      <c r="AN75" s="102">
        <f t="shared" si="87"/>
        <v>0</v>
      </c>
      <c r="AO75" s="102">
        <f t="shared" si="87"/>
        <v>0</v>
      </c>
      <c r="AP75" s="102">
        <f t="shared" si="87"/>
        <v>0</v>
      </c>
      <c r="AQ75" s="102">
        <f t="shared" si="87"/>
        <v>0</v>
      </c>
      <c r="AR75" s="102">
        <f t="shared" si="87"/>
        <v>0</v>
      </c>
      <c r="AS75" s="102"/>
      <c r="AT75" s="102"/>
      <c r="AU75" s="102"/>
      <c r="AV75" s="102"/>
      <c r="AW75" s="102"/>
      <c r="AX75" s="102"/>
      <c r="AY75" s="102"/>
      <c r="AZ75" s="102"/>
      <c r="BA75" s="102"/>
      <c r="BB75" s="102"/>
      <c r="BC75" s="102"/>
      <c r="BD75" s="102"/>
      <c r="BE75" s="102"/>
      <c r="BF75" s="102"/>
      <c r="BG75" s="102"/>
      <c r="BH75" s="102"/>
      <c r="BI75" s="102"/>
    </row>
    <row r="76" spans="1:61" s="17" customFormat="1" hidden="1" outlineLevel="1" x14ac:dyDescent="0.25">
      <c r="A76" s="16" t="s">
        <v>227</v>
      </c>
      <c r="B76" s="101">
        <f t="shared" si="82"/>
        <v>0</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f>+AD77-AE70</f>
        <v>0</v>
      </c>
      <c r="AF76" s="102">
        <f t="shared" ref="AF76:AS76" si="88">+AE77-AF70</f>
        <v>0</v>
      </c>
      <c r="AG76" s="102">
        <f t="shared" si="88"/>
        <v>0</v>
      </c>
      <c r="AH76" s="102">
        <f t="shared" si="88"/>
        <v>0</v>
      </c>
      <c r="AI76" s="102">
        <f t="shared" si="88"/>
        <v>0</v>
      </c>
      <c r="AJ76" s="102">
        <f t="shared" si="88"/>
        <v>0</v>
      </c>
      <c r="AK76" s="102">
        <f t="shared" si="88"/>
        <v>0</v>
      </c>
      <c r="AL76" s="102">
        <f t="shared" si="88"/>
        <v>0</v>
      </c>
      <c r="AM76" s="102">
        <f t="shared" si="88"/>
        <v>0</v>
      </c>
      <c r="AN76" s="102">
        <f t="shared" si="88"/>
        <v>0</v>
      </c>
      <c r="AO76" s="102">
        <f t="shared" si="88"/>
        <v>0</v>
      </c>
      <c r="AP76" s="102">
        <f t="shared" si="88"/>
        <v>0</v>
      </c>
      <c r="AQ76" s="102">
        <f t="shared" si="88"/>
        <v>0</v>
      </c>
      <c r="AR76" s="102">
        <f t="shared" si="88"/>
        <v>0</v>
      </c>
      <c r="AS76" s="102">
        <f t="shared" si="88"/>
        <v>0</v>
      </c>
      <c r="AT76" s="102"/>
      <c r="AU76" s="102"/>
      <c r="AV76" s="102"/>
      <c r="AW76" s="102"/>
      <c r="AX76" s="102"/>
      <c r="AY76" s="102"/>
      <c r="AZ76" s="102"/>
      <c r="BA76" s="102"/>
      <c r="BB76" s="102"/>
      <c r="BC76" s="102"/>
      <c r="BD76" s="102"/>
      <c r="BE76" s="102"/>
      <c r="BF76" s="102"/>
      <c r="BG76" s="102"/>
      <c r="BH76" s="102"/>
      <c r="BI76" s="102"/>
    </row>
    <row r="77" spans="1:61" s="17" customFormat="1" hidden="1" outlineLevel="1" x14ac:dyDescent="0.25">
      <c r="A77" s="16" t="s">
        <v>16</v>
      </c>
      <c r="B77" s="101">
        <f t="shared" si="82"/>
        <v>0</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f>AD69-AD70</f>
        <v>0</v>
      </c>
      <c r="AE77" s="102">
        <f>+AE76-AE71</f>
        <v>0</v>
      </c>
      <c r="AF77" s="102">
        <f t="shared" ref="AF77:AS77" si="89">+AF76-AF71</f>
        <v>0</v>
      </c>
      <c r="AG77" s="102">
        <f t="shared" si="89"/>
        <v>0</v>
      </c>
      <c r="AH77" s="102">
        <f t="shared" si="89"/>
        <v>0</v>
      </c>
      <c r="AI77" s="102">
        <f t="shared" si="89"/>
        <v>0</v>
      </c>
      <c r="AJ77" s="102">
        <f t="shared" si="89"/>
        <v>0</v>
      </c>
      <c r="AK77" s="102">
        <f t="shared" si="89"/>
        <v>0</v>
      </c>
      <c r="AL77" s="102">
        <f t="shared" si="89"/>
        <v>0</v>
      </c>
      <c r="AM77" s="102">
        <f t="shared" si="89"/>
        <v>0</v>
      </c>
      <c r="AN77" s="102">
        <f t="shared" si="89"/>
        <v>0</v>
      </c>
      <c r="AO77" s="102">
        <f t="shared" si="89"/>
        <v>0</v>
      </c>
      <c r="AP77" s="102">
        <f t="shared" si="89"/>
        <v>0</v>
      </c>
      <c r="AQ77" s="102">
        <f t="shared" si="89"/>
        <v>0</v>
      </c>
      <c r="AR77" s="102">
        <f t="shared" si="89"/>
        <v>0</v>
      </c>
      <c r="AS77" s="102">
        <f t="shared" si="89"/>
        <v>0</v>
      </c>
      <c r="AT77" s="102"/>
      <c r="AU77" s="102"/>
      <c r="AV77" s="102"/>
      <c r="AW77" s="102"/>
      <c r="AX77" s="102"/>
      <c r="AY77" s="102"/>
      <c r="AZ77" s="102"/>
      <c r="BA77" s="102"/>
      <c r="BB77" s="102"/>
      <c r="BC77" s="102"/>
      <c r="BD77" s="102"/>
      <c r="BE77" s="102"/>
      <c r="BF77" s="102"/>
      <c r="BG77" s="102"/>
      <c r="BH77" s="102"/>
      <c r="BI77" s="102"/>
    </row>
    <row r="78" spans="1:61" hidden="1" outlineLevel="1" x14ac:dyDescent="0.25">
      <c r="A78" s="21"/>
      <c r="B78" s="101">
        <f t="shared" si="82"/>
        <v>0</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row>
    <row r="79" spans="1:61" hidden="1" outlineLevel="1" x14ac:dyDescent="0.25">
      <c r="A79" s="20" t="str">
        <f t="shared" ref="A79:A87" si="90">A69</f>
        <v>Debt Forecasted</v>
      </c>
      <c r="B79" s="101">
        <f t="shared" si="82"/>
        <v>0</v>
      </c>
      <c r="C79" s="102">
        <v>0</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f>AE8</f>
        <v>0</v>
      </c>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row>
    <row r="80" spans="1:61" s="17" customFormat="1" hidden="1" outlineLevel="1" x14ac:dyDescent="0.25">
      <c r="A80" s="16" t="str">
        <f t="shared" si="90"/>
        <v>Principal</v>
      </c>
      <c r="B80" s="101">
        <f t="shared" si="82"/>
        <v>0</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f t="shared" ref="AE80:AT81" si="91">+AE84-AE82</f>
        <v>0</v>
      </c>
      <c r="AF80" s="102">
        <f t="shared" si="91"/>
        <v>0</v>
      </c>
      <c r="AG80" s="102">
        <f t="shared" si="91"/>
        <v>0</v>
      </c>
      <c r="AH80" s="102">
        <f t="shared" si="91"/>
        <v>0</v>
      </c>
      <c r="AI80" s="102">
        <f t="shared" si="91"/>
        <v>0</v>
      </c>
      <c r="AJ80" s="102">
        <f t="shared" si="91"/>
        <v>0</v>
      </c>
      <c r="AK80" s="102">
        <f t="shared" si="91"/>
        <v>0</v>
      </c>
      <c r="AL80" s="102">
        <f t="shared" si="91"/>
        <v>0</v>
      </c>
      <c r="AM80" s="102">
        <f t="shared" si="91"/>
        <v>0</v>
      </c>
      <c r="AN80" s="102">
        <f t="shared" si="91"/>
        <v>0</v>
      </c>
      <c r="AO80" s="102">
        <f t="shared" si="91"/>
        <v>0</v>
      </c>
      <c r="AP80" s="102">
        <f t="shared" si="91"/>
        <v>0</v>
      </c>
      <c r="AQ80" s="102">
        <f t="shared" si="91"/>
        <v>0</v>
      </c>
      <c r="AR80" s="102">
        <f t="shared" si="91"/>
        <v>0</v>
      </c>
      <c r="AS80" s="102">
        <f t="shared" si="91"/>
        <v>0</v>
      </c>
      <c r="AT80" s="102">
        <f t="shared" si="91"/>
        <v>0</v>
      </c>
      <c r="AU80" s="102"/>
      <c r="AV80" s="102"/>
      <c r="AW80" s="102"/>
      <c r="AX80" s="102"/>
      <c r="AY80" s="102"/>
      <c r="AZ80" s="102"/>
      <c r="BA80" s="102"/>
      <c r="BB80" s="102"/>
      <c r="BC80" s="102"/>
      <c r="BD80" s="102"/>
      <c r="BE80" s="102"/>
      <c r="BF80" s="102"/>
      <c r="BG80" s="102"/>
      <c r="BH80" s="102"/>
      <c r="BI80" s="102"/>
    </row>
    <row r="81" spans="1:61" s="17" customFormat="1" hidden="1" outlineLevel="1" x14ac:dyDescent="0.25">
      <c r="A81" s="16" t="str">
        <f t="shared" si="90"/>
        <v>Principal</v>
      </c>
      <c r="B81" s="101">
        <f t="shared" si="82"/>
        <v>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f t="shared" si="91"/>
        <v>0</v>
      </c>
      <c r="AG81" s="102">
        <f t="shared" si="91"/>
        <v>0</v>
      </c>
      <c r="AH81" s="102">
        <f t="shared" si="91"/>
        <v>0</v>
      </c>
      <c r="AI81" s="102">
        <f t="shared" si="91"/>
        <v>0</v>
      </c>
      <c r="AJ81" s="102">
        <f t="shared" si="91"/>
        <v>0</v>
      </c>
      <c r="AK81" s="102">
        <f t="shared" si="91"/>
        <v>0</v>
      </c>
      <c r="AL81" s="102">
        <f t="shared" si="91"/>
        <v>0</v>
      </c>
      <c r="AM81" s="102">
        <f t="shared" si="91"/>
        <v>0</v>
      </c>
      <c r="AN81" s="102">
        <f t="shared" si="91"/>
        <v>0</v>
      </c>
      <c r="AO81" s="102">
        <f t="shared" si="91"/>
        <v>0</v>
      </c>
      <c r="AP81" s="102">
        <f t="shared" si="91"/>
        <v>0</v>
      </c>
      <c r="AQ81" s="102">
        <f t="shared" si="91"/>
        <v>0</v>
      </c>
      <c r="AR81" s="102">
        <f t="shared" si="91"/>
        <v>0</v>
      </c>
      <c r="AS81" s="102">
        <f t="shared" si="91"/>
        <v>0</v>
      </c>
      <c r="AT81" s="102">
        <f t="shared" si="91"/>
        <v>0</v>
      </c>
      <c r="AU81" s="102"/>
      <c r="AV81" s="102"/>
      <c r="AW81" s="102"/>
      <c r="AX81" s="102"/>
      <c r="AY81" s="102"/>
      <c r="AZ81" s="102"/>
      <c r="BA81" s="102"/>
      <c r="BB81" s="102"/>
      <c r="BC81" s="102"/>
      <c r="BD81" s="102"/>
      <c r="BE81" s="102"/>
      <c r="BF81" s="102"/>
      <c r="BG81" s="102"/>
      <c r="BH81" s="102"/>
      <c r="BI81" s="102"/>
    </row>
    <row r="82" spans="1:61" s="17" customFormat="1" hidden="1" outlineLevel="1" x14ac:dyDescent="0.25">
      <c r="A82" s="16" t="str">
        <f t="shared" si="90"/>
        <v>Interest</v>
      </c>
      <c r="B82" s="101">
        <f t="shared" si="82"/>
        <v>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f>+AE79*AE9/2</f>
        <v>0</v>
      </c>
      <c r="AF82" s="102">
        <f>+AE87*$AE$9/2</f>
        <v>0</v>
      </c>
      <c r="AG82" s="102">
        <f t="shared" ref="AG82:AT82" si="92">+AF87*$AE$9/2</f>
        <v>0</v>
      </c>
      <c r="AH82" s="102">
        <f t="shared" si="92"/>
        <v>0</v>
      </c>
      <c r="AI82" s="102">
        <f t="shared" si="92"/>
        <v>0</v>
      </c>
      <c r="AJ82" s="102">
        <f t="shared" si="92"/>
        <v>0</v>
      </c>
      <c r="AK82" s="102">
        <f t="shared" si="92"/>
        <v>0</v>
      </c>
      <c r="AL82" s="102">
        <f t="shared" si="92"/>
        <v>0</v>
      </c>
      <c r="AM82" s="102">
        <f t="shared" si="92"/>
        <v>0</v>
      </c>
      <c r="AN82" s="102">
        <f t="shared" si="92"/>
        <v>0</v>
      </c>
      <c r="AO82" s="102">
        <f t="shared" si="92"/>
        <v>0</v>
      </c>
      <c r="AP82" s="102">
        <f t="shared" si="92"/>
        <v>0</v>
      </c>
      <c r="AQ82" s="102">
        <f t="shared" si="92"/>
        <v>0</v>
      </c>
      <c r="AR82" s="102">
        <f t="shared" si="92"/>
        <v>0</v>
      </c>
      <c r="AS82" s="102">
        <f t="shared" si="92"/>
        <v>0</v>
      </c>
      <c r="AT82" s="102">
        <f t="shared" si="92"/>
        <v>0</v>
      </c>
      <c r="AU82" s="102"/>
      <c r="AV82" s="102"/>
      <c r="AW82" s="102"/>
      <c r="AX82" s="102"/>
      <c r="AY82" s="102"/>
      <c r="AZ82" s="102"/>
      <c r="BA82" s="102"/>
      <c r="BB82" s="102"/>
      <c r="BC82" s="102"/>
      <c r="BD82" s="102"/>
      <c r="BE82" s="102"/>
      <c r="BF82" s="102"/>
      <c r="BG82" s="102"/>
      <c r="BH82" s="102"/>
      <c r="BI82" s="102"/>
    </row>
    <row r="83" spans="1:61" s="17" customFormat="1" hidden="1" outlineLevel="1" x14ac:dyDescent="0.25">
      <c r="A83" s="16" t="str">
        <f t="shared" si="90"/>
        <v>Interest</v>
      </c>
      <c r="B83" s="101">
        <f t="shared" si="82"/>
        <v>0</v>
      </c>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f>+AF86*$AE$9/2</f>
        <v>0</v>
      </c>
      <c r="AG83" s="102">
        <f t="shared" ref="AG83:AT83" si="93">+AG86*$AE$9/2</f>
        <v>0</v>
      </c>
      <c r="AH83" s="102">
        <f t="shared" si="93"/>
        <v>0</v>
      </c>
      <c r="AI83" s="102">
        <f t="shared" si="93"/>
        <v>0</v>
      </c>
      <c r="AJ83" s="102">
        <f t="shared" si="93"/>
        <v>0</v>
      </c>
      <c r="AK83" s="102">
        <f t="shared" si="93"/>
        <v>0</v>
      </c>
      <c r="AL83" s="102">
        <f t="shared" si="93"/>
        <v>0</v>
      </c>
      <c r="AM83" s="102">
        <f t="shared" si="93"/>
        <v>0</v>
      </c>
      <c r="AN83" s="102">
        <f t="shared" si="93"/>
        <v>0</v>
      </c>
      <c r="AO83" s="102">
        <f t="shared" si="93"/>
        <v>0</v>
      </c>
      <c r="AP83" s="102">
        <f t="shared" si="93"/>
        <v>0</v>
      </c>
      <c r="AQ83" s="102">
        <f t="shared" si="93"/>
        <v>0</v>
      </c>
      <c r="AR83" s="102">
        <f t="shared" si="93"/>
        <v>0</v>
      </c>
      <c r="AS83" s="102">
        <f t="shared" si="93"/>
        <v>0</v>
      </c>
      <c r="AT83" s="102">
        <f t="shared" si="93"/>
        <v>0</v>
      </c>
      <c r="AU83" s="102"/>
      <c r="AV83" s="102"/>
      <c r="AW83" s="102"/>
      <c r="AX83" s="102"/>
      <c r="AY83" s="102"/>
      <c r="AZ83" s="102"/>
      <c r="BA83" s="102"/>
      <c r="BB83" s="102"/>
      <c r="BC83" s="102"/>
      <c r="BD83" s="102"/>
      <c r="BE83" s="102"/>
      <c r="BF83" s="102"/>
      <c r="BG83" s="102"/>
      <c r="BH83" s="102"/>
      <c r="BI83" s="102"/>
    </row>
    <row r="84" spans="1:61" s="17" customFormat="1" hidden="1" outlineLevel="1" x14ac:dyDescent="0.25">
      <c r="A84" s="16" t="str">
        <f t="shared" si="90"/>
        <v xml:space="preserve">Debt Servicing </v>
      </c>
      <c r="B84" s="101">
        <f t="shared" si="82"/>
        <v>0</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f>-PMT(AE9/2,AE10*2,AE8)</f>
        <v>0</v>
      </c>
      <c r="AF84" s="102">
        <f t="shared" ref="AF84:AT84" si="94">+AE84</f>
        <v>0</v>
      </c>
      <c r="AG84" s="102">
        <f t="shared" si="94"/>
        <v>0</v>
      </c>
      <c r="AH84" s="102">
        <f t="shared" si="94"/>
        <v>0</v>
      </c>
      <c r="AI84" s="102">
        <f t="shared" si="94"/>
        <v>0</v>
      </c>
      <c r="AJ84" s="102">
        <f t="shared" si="94"/>
        <v>0</v>
      </c>
      <c r="AK84" s="102">
        <f t="shared" si="94"/>
        <v>0</v>
      </c>
      <c r="AL84" s="102">
        <f t="shared" si="94"/>
        <v>0</v>
      </c>
      <c r="AM84" s="102">
        <f t="shared" si="94"/>
        <v>0</v>
      </c>
      <c r="AN84" s="102">
        <f t="shared" si="94"/>
        <v>0</v>
      </c>
      <c r="AO84" s="102">
        <f t="shared" si="94"/>
        <v>0</v>
      </c>
      <c r="AP84" s="102">
        <f t="shared" si="94"/>
        <v>0</v>
      </c>
      <c r="AQ84" s="102">
        <f t="shared" si="94"/>
        <v>0</v>
      </c>
      <c r="AR84" s="102">
        <f t="shared" si="94"/>
        <v>0</v>
      </c>
      <c r="AS84" s="102">
        <f t="shared" si="94"/>
        <v>0</v>
      </c>
      <c r="AT84" s="102">
        <f t="shared" si="94"/>
        <v>0</v>
      </c>
      <c r="AU84" s="102"/>
      <c r="AV84" s="102"/>
      <c r="AW84" s="102"/>
      <c r="AX84" s="102"/>
      <c r="AY84" s="102"/>
      <c r="AZ84" s="102"/>
      <c r="BA84" s="102"/>
      <c r="BB84" s="102"/>
      <c r="BC84" s="102"/>
      <c r="BD84" s="102"/>
      <c r="BE84" s="102"/>
      <c r="BF84" s="102"/>
      <c r="BG84" s="102"/>
      <c r="BH84" s="102"/>
      <c r="BI84" s="102"/>
    </row>
    <row r="85" spans="1:61" s="17" customFormat="1" hidden="1" outlineLevel="1" x14ac:dyDescent="0.25">
      <c r="A85" s="16" t="str">
        <f t="shared" si="90"/>
        <v xml:space="preserve">Debt Servicing </v>
      </c>
      <c r="B85" s="101">
        <f t="shared" si="82"/>
        <v>0</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f t="shared" ref="AF85:AS85" si="95">+AF84</f>
        <v>0</v>
      </c>
      <c r="AG85" s="102">
        <f t="shared" si="95"/>
        <v>0</v>
      </c>
      <c r="AH85" s="102">
        <f t="shared" si="95"/>
        <v>0</v>
      </c>
      <c r="AI85" s="102">
        <f t="shared" si="95"/>
        <v>0</v>
      </c>
      <c r="AJ85" s="102">
        <f t="shared" si="95"/>
        <v>0</v>
      </c>
      <c r="AK85" s="102">
        <f t="shared" si="95"/>
        <v>0</v>
      </c>
      <c r="AL85" s="102">
        <f t="shared" si="95"/>
        <v>0</v>
      </c>
      <c r="AM85" s="102">
        <f t="shared" si="95"/>
        <v>0</v>
      </c>
      <c r="AN85" s="102">
        <f t="shared" si="95"/>
        <v>0</v>
      </c>
      <c r="AO85" s="102">
        <f t="shared" si="95"/>
        <v>0</v>
      </c>
      <c r="AP85" s="102">
        <f t="shared" si="95"/>
        <v>0</v>
      </c>
      <c r="AQ85" s="102">
        <f t="shared" si="95"/>
        <v>0</v>
      </c>
      <c r="AR85" s="102">
        <f t="shared" si="95"/>
        <v>0</v>
      </c>
      <c r="AS85" s="102">
        <f t="shared" si="95"/>
        <v>0</v>
      </c>
      <c r="AT85" s="102"/>
      <c r="AU85" s="102"/>
      <c r="AV85" s="102"/>
      <c r="AW85" s="102"/>
      <c r="AX85" s="102"/>
      <c r="AY85" s="102"/>
      <c r="AZ85" s="102"/>
      <c r="BA85" s="102"/>
      <c r="BB85" s="102"/>
      <c r="BC85" s="102"/>
      <c r="BD85" s="102"/>
      <c r="BE85" s="102"/>
      <c r="BF85" s="102"/>
      <c r="BG85" s="102"/>
      <c r="BH85" s="102"/>
      <c r="BI85" s="102"/>
    </row>
    <row r="86" spans="1:61" s="17" customFormat="1" hidden="1" outlineLevel="1" x14ac:dyDescent="0.25">
      <c r="A86" s="16" t="str">
        <f t="shared" si="90"/>
        <v>Balance mid year</v>
      </c>
      <c r="B86" s="101">
        <f t="shared" si="82"/>
        <v>0</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f t="shared" ref="AF86:AT86" si="96">+AE87-AF80</f>
        <v>0</v>
      </c>
      <c r="AG86" s="102">
        <f t="shared" si="96"/>
        <v>0</v>
      </c>
      <c r="AH86" s="102">
        <f t="shared" si="96"/>
        <v>0</v>
      </c>
      <c r="AI86" s="102">
        <f t="shared" si="96"/>
        <v>0</v>
      </c>
      <c r="AJ86" s="102">
        <f t="shared" si="96"/>
        <v>0</v>
      </c>
      <c r="AK86" s="102">
        <f t="shared" si="96"/>
        <v>0</v>
      </c>
      <c r="AL86" s="102">
        <f t="shared" si="96"/>
        <v>0</v>
      </c>
      <c r="AM86" s="102">
        <f t="shared" si="96"/>
        <v>0</v>
      </c>
      <c r="AN86" s="102">
        <f t="shared" si="96"/>
        <v>0</v>
      </c>
      <c r="AO86" s="102">
        <f t="shared" si="96"/>
        <v>0</v>
      </c>
      <c r="AP86" s="102">
        <f t="shared" si="96"/>
        <v>0</v>
      </c>
      <c r="AQ86" s="102">
        <f t="shared" si="96"/>
        <v>0</v>
      </c>
      <c r="AR86" s="102">
        <f t="shared" si="96"/>
        <v>0</v>
      </c>
      <c r="AS86" s="102">
        <f t="shared" si="96"/>
        <v>0</v>
      </c>
      <c r="AT86" s="102">
        <f t="shared" si="96"/>
        <v>0</v>
      </c>
      <c r="AU86" s="102"/>
      <c r="AV86" s="102"/>
      <c r="AW86" s="102"/>
      <c r="AX86" s="102"/>
      <c r="AY86" s="102"/>
      <c r="AZ86" s="102"/>
      <c r="BA86" s="102"/>
      <c r="BB86" s="102"/>
      <c r="BC86" s="102"/>
      <c r="BD86" s="102"/>
      <c r="BE86" s="102"/>
      <c r="BF86" s="102"/>
      <c r="BG86" s="102"/>
      <c r="BH86" s="102"/>
      <c r="BI86" s="102"/>
    </row>
    <row r="87" spans="1:61" s="17" customFormat="1" hidden="1" outlineLevel="1" x14ac:dyDescent="0.25">
      <c r="A87" s="16" t="str">
        <f t="shared" si="90"/>
        <v>Balance</v>
      </c>
      <c r="B87" s="101">
        <f t="shared" si="82"/>
        <v>0</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f>AE79-AE80</f>
        <v>0</v>
      </c>
      <c r="AF87" s="102">
        <f t="shared" ref="AF87:AT87" si="97">+AF86-AF81</f>
        <v>0</v>
      </c>
      <c r="AG87" s="102">
        <f t="shared" si="97"/>
        <v>0</v>
      </c>
      <c r="AH87" s="102">
        <f t="shared" si="97"/>
        <v>0</v>
      </c>
      <c r="AI87" s="102">
        <f t="shared" si="97"/>
        <v>0</v>
      </c>
      <c r="AJ87" s="102">
        <f t="shared" si="97"/>
        <v>0</v>
      </c>
      <c r="AK87" s="102">
        <f t="shared" si="97"/>
        <v>0</v>
      </c>
      <c r="AL87" s="102">
        <f t="shared" si="97"/>
        <v>0</v>
      </c>
      <c r="AM87" s="102">
        <f t="shared" si="97"/>
        <v>0</v>
      </c>
      <c r="AN87" s="102">
        <f t="shared" si="97"/>
        <v>0</v>
      </c>
      <c r="AO87" s="102">
        <f t="shared" si="97"/>
        <v>0</v>
      </c>
      <c r="AP87" s="102">
        <f t="shared" si="97"/>
        <v>0</v>
      </c>
      <c r="AQ87" s="102">
        <f t="shared" si="97"/>
        <v>0</v>
      </c>
      <c r="AR87" s="102">
        <f t="shared" si="97"/>
        <v>0</v>
      </c>
      <c r="AS87" s="102">
        <f t="shared" si="97"/>
        <v>0</v>
      </c>
      <c r="AT87" s="102">
        <f t="shared" si="97"/>
        <v>0</v>
      </c>
      <c r="AU87" s="102"/>
      <c r="AV87" s="102"/>
      <c r="AW87" s="102"/>
      <c r="AX87" s="102"/>
      <c r="AY87" s="102"/>
      <c r="AZ87" s="102"/>
      <c r="BA87" s="102"/>
      <c r="BB87" s="102"/>
      <c r="BC87" s="102"/>
      <c r="BD87" s="102"/>
      <c r="BE87" s="102"/>
      <c r="BF87" s="102"/>
      <c r="BG87" s="102"/>
      <c r="BH87" s="102"/>
      <c r="BI87" s="102"/>
    </row>
    <row r="88" spans="1:61" s="17" customFormat="1" hidden="1" outlineLevel="1" x14ac:dyDescent="0.25">
      <c r="A88" s="16"/>
      <c r="B88" s="101">
        <f t="shared" si="82"/>
        <v>0</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row>
    <row r="89" spans="1:61" hidden="1" outlineLevel="1" x14ac:dyDescent="0.25">
      <c r="A89" s="20" t="str">
        <f t="shared" ref="A89:A97" si="98">A79</f>
        <v>Debt Forecasted</v>
      </c>
      <c r="B89" s="101">
        <f t="shared" si="82"/>
        <v>0</v>
      </c>
      <c r="C89" s="102">
        <v>0</v>
      </c>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f>AF8</f>
        <v>0</v>
      </c>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row>
    <row r="90" spans="1:61" s="17" customFormat="1" hidden="1" outlineLevel="1" x14ac:dyDescent="0.25">
      <c r="A90" s="16" t="str">
        <f t="shared" si="98"/>
        <v>Principal</v>
      </c>
      <c r="B90" s="101">
        <f t="shared" si="82"/>
        <v>0</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f t="shared" ref="AF90:AU91" si="99">+AF94-AF92</f>
        <v>0</v>
      </c>
      <c r="AG90" s="102">
        <f t="shared" si="99"/>
        <v>0</v>
      </c>
      <c r="AH90" s="102">
        <f t="shared" si="99"/>
        <v>0</v>
      </c>
      <c r="AI90" s="102">
        <f t="shared" si="99"/>
        <v>0</v>
      </c>
      <c r="AJ90" s="102">
        <f t="shared" si="99"/>
        <v>0</v>
      </c>
      <c r="AK90" s="102">
        <f t="shared" si="99"/>
        <v>0</v>
      </c>
      <c r="AL90" s="102">
        <f t="shared" si="99"/>
        <v>0</v>
      </c>
      <c r="AM90" s="102">
        <f t="shared" si="99"/>
        <v>0</v>
      </c>
      <c r="AN90" s="102">
        <f t="shared" si="99"/>
        <v>0</v>
      </c>
      <c r="AO90" s="102">
        <f t="shared" si="99"/>
        <v>0</v>
      </c>
      <c r="AP90" s="102">
        <f t="shared" si="99"/>
        <v>0</v>
      </c>
      <c r="AQ90" s="102">
        <f t="shared" si="99"/>
        <v>0</v>
      </c>
      <c r="AR90" s="102">
        <f t="shared" si="99"/>
        <v>0</v>
      </c>
      <c r="AS90" s="102">
        <f t="shared" si="99"/>
        <v>0</v>
      </c>
      <c r="AT90" s="102">
        <f t="shared" si="99"/>
        <v>0</v>
      </c>
      <c r="AU90" s="102">
        <f t="shared" si="99"/>
        <v>0</v>
      </c>
      <c r="AV90" s="102"/>
      <c r="AW90" s="102"/>
      <c r="AX90" s="102"/>
      <c r="AY90" s="102"/>
      <c r="AZ90" s="102"/>
      <c r="BA90" s="102"/>
      <c r="BB90" s="102"/>
      <c r="BC90" s="102"/>
      <c r="BD90" s="102"/>
      <c r="BE90" s="102"/>
      <c r="BF90" s="102"/>
      <c r="BG90" s="102"/>
      <c r="BH90" s="102"/>
      <c r="BI90" s="102"/>
    </row>
    <row r="91" spans="1:61" s="17" customFormat="1" hidden="1" outlineLevel="1" x14ac:dyDescent="0.25">
      <c r="A91" s="16" t="str">
        <f t="shared" si="98"/>
        <v>Principal</v>
      </c>
      <c r="B91" s="101">
        <f t="shared" si="82"/>
        <v>0</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f t="shared" si="99"/>
        <v>0</v>
      </c>
      <c r="AH91" s="102">
        <f t="shared" si="99"/>
        <v>0</v>
      </c>
      <c r="AI91" s="102">
        <f t="shared" si="99"/>
        <v>0</v>
      </c>
      <c r="AJ91" s="102">
        <f t="shared" si="99"/>
        <v>0</v>
      </c>
      <c r="AK91" s="102">
        <f t="shared" si="99"/>
        <v>0</v>
      </c>
      <c r="AL91" s="102">
        <f t="shared" si="99"/>
        <v>0</v>
      </c>
      <c r="AM91" s="102">
        <f t="shared" si="99"/>
        <v>0</v>
      </c>
      <c r="AN91" s="102">
        <f t="shared" si="99"/>
        <v>0</v>
      </c>
      <c r="AO91" s="102">
        <f t="shared" si="99"/>
        <v>0</v>
      </c>
      <c r="AP91" s="102">
        <f t="shared" si="99"/>
        <v>0</v>
      </c>
      <c r="AQ91" s="102">
        <f t="shared" si="99"/>
        <v>0</v>
      </c>
      <c r="AR91" s="102">
        <f t="shared" si="99"/>
        <v>0</v>
      </c>
      <c r="AS91" s="102">
        <f t="shared" si="99"/>
        <v>0</v>
      </c>
      <c r="AT91" s="102">
        <f t="shared" si="99"/>
        <v>0</v>
      </c>
      <c r="AU91" s="102">
        <f t="shared" si="99"/>
        <v>0</v>
      </c>
      <c r="AV91" s="102"/>
      <c r="AW91" s="102"/>
      <c r="AX91" s="102"/>
      <c r="AY91" s="102"/>
      <c r="AZ91" s="102"/>
      <c r="BA91" s="102"/>
      <c r="BB91" s="102"/>
      <c r="BC91" s="102"/>
      <c r="BD91" s="102"/>
      <c r="BE91" s="102"/>
      <c r="BF91" s="102"/>
      <c r="BG91" s="102"/>
      <c r="BH91" s="102"/>
      <c r="BI91" s="102"/>
    </row>
    <row r="92" spans="1:61" s="17" customFormat="1" hidden="1" outlineLevel="1" x14ac:dyDescent="0.25">
      <c r="A92" s="16" t="str">
        <f t="shared" si="98"/>
        <v>Interest</v>
      </c>
      <c r="B92" s="101">
        <f t="shared" si="82"/>
        <v>0</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f>AF89*AF9/2</f>
        <v>0</v>
      </c>
      <c r="AG92" s="102">
        <f>+AF97*$AF$9/2</f>
        <v>0</v>
      </c>
      <c r="AH92" s="102">
        <f t="shared" ref="AH92:AU92" si="100">+AG97*$AF$9/2</f>
        <v>0</v>
      </c>
      <c r="AI92" s="102">
        <f t="shared" si="100"/>
        <v>0</v>
      </c>
      <c r="AJ92" s="102">
        <f t="shared" si="100"/>
        <v>0</v>
      </c>
      <c r="AK92" s="102">
        <f t="shared" si="100"/>
        <v>0</v>
      </c>
      <c r="AL92" s="102">
        <f t="shared" si="100"/>
        <v>0</v>
      </c>
      <c r="AM92" s="102">
        <f t="shared" si="100"/>
        <v>0</v>
      </c>
      <c r="AN92" s="102">
        <f t="shared" si="100"/>
        <v>0</v>
      </c>
      <c r="AO92" s="102">
        <f t="shared" si="100"/>
        <v>0</v>
      </c>
      <c r="AP92" s="102">
        <f t="shared" si="100"/>
        <v>0</v>
      </c>
      <c r="AQ92" s="102">
        <f t="shared" si="100"/>
        <v>0</v>
      </c>
      <c r="AR92" s="102">
        <f t="shared" si="100"/>
        <v>0</v>
      </c>
      <c r="AS92" s="102">
        <f t="shared" si="100"/>
        <v>0</v>
      </c>
      <c r="AT92" s="102">
        <f t="shared" si="100"/>
        <v>0</v>
      </c>
      <c r="AU92" s="102">
        <f t="shared" si="100"/>
        <v>0</v>
      </c>
      <c r="AV92" s="102"/>
      <c r="AW92" s="102"/>
      <c r="AX92" s="102"/>
      <c r="AY92" s="102"/>
      <c r="AZ92" s="102"/>
      <c r="BA92" s="102"/>
      <c r="BB92" s="102"/>
      <c r="BC92" s="102"/>
      <c r="BD92" s="102"/>
      <c r="BE92" s="102"/>
      <c r="BF92" s="102"/>
      <c r="BG92" s="102"/>
      <c r="BH92" s="102"/>
      <c r="BI92" s="102"/>
    </row>
    <row r="93" spans="1:61" s="17" customFormat="1" hidden="1" outlineLevel="1" x14ac:dyDescent="0.25">
      <c r="A93" s="16" t="str">
        <f t="shared" si="98"/>
        <v>Interest</v>
      </c>
      <c r="B93" s="101">
        <f t="shared" si="82"/>
        <v>0</v>
      </c>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f>+AG96*$AF$9/2</f>
        <v>0</v>
      </c>
      <c r="AH93" s="102">
        <f t="shared" ref="AH93:AU93" si="101">+AH96*$AF$9/2</f>
        <v>0</v>
      </c>
      <c r="AI93" s="102">
        <f t="shared" si="101"/>
        <v>0</v>
      </c>
      <c r="AJ93" s="102">
        <f t="shared" si="101"/>
        <v>0</v>
      </c>
      <c r="AK93" s="102">
        <f t="shared" si="101"/>
        <v>0</v>
      </c>
      <c r="AL93" s="102">
        <f t="shared" si="101"/>
        <v>0</v>
      </c>
      <c r="AM93" s="102">
        <f t="shared" si="101"/>
        <v>0</v>
      </c>
      <c r="AN93" s="102">
        <f t="shared" si="101"/>
        <v>0</v>
      </c>
      <c r="AO93" s="102">
        <f t="shared" si="101"/>
        <v>0</v>
      </c>
      <c r="AP93" s="102">
        <f t="shared" si="101"/>
        <v>0</v>
      </c>
      <c r="AQ93" s="102">
        <f t="shared" si="101"/>
        <v>0</v>
      </c>
      <c r="AR93" s="102">
        <f t="shared" si="101"/>
        <v>0</v>
      </c>
      <c r="AS93" s="102">
        <f t="shared" si="101"/>
        <v>0</v>
      </c>
      <c r="AT93" s="102">
        <f t="shared" si="101"/>
        <v>0</v>
      </c>
      <c r="AU93" s="102">
        <f t="shared" si="101"/>
        <v>0</v>
      </c>
      <c r="AV93" s="102"/>
      <c r="AW93" s="102"/>
      <c r="AX93" s="102"/>
      <c r="AY93" s="102"/>
      <c r="AZ93" s="102"/>
      <c r="BA93" s="102"/>
      <c r="BB93" s="102"/>
      <c r="BC93" s="102"/>
      <c r="BD93" s="102"/>
      <c r="BE93" s="102"/>
      <c r="BF93" s="102"/>
      <c r="BG93" s="102"/>
      <c r="BH93" s="102"/>
      <c r="BI93" s="102"/>
    </row>
    <row r="94" spans="1:61" s="17" customFormat="1" hidden="1" outlineLevel="1" x14ac:dyDescent="0.25">
      <c r="A94" s="16" t="str">
        <f t="shared" si="98"/>
        <v xml:space="preserve">Debt Servicing </v>
      </c>
      <c r="B94" s="101">
        <f t="shared" si="82"/>
        <v>0</v>
      </c>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f>-PMT(AF9/2,AF10*2,AF8)</f>
        <v>0</v>
      </c>
      <c r="AG94" s="102">
        <f t="shared" ref="AG94:AU94" si="102">+AF94</f>
        <v>0</v>
      </c>
      <c r="AH94" s="102">
        <f t="shared" si="102"/>
        <v>0</v>
      </c>
      <c r="AI94" s="102">
        <f t="shared" si="102"/>
        <v>0</v>
      </c>
      <c r="AJ94" s="102">
        <f t="shared" si="102"/>
        <v>0</v>
      </c>
      <c r="AK94" s="102">
        <f t="shared" si="102"/>
        <v>0</v>
      </c>
      <c r="AL94" s="102">
        <f t="shared" si="102"/>
        <v>0</v>
      </c>
      <c r="AM94" s="102">
        <f t="shared" si="102"/>
        <v>0</v>
      </c>
      <c r="AN94" s="102">
        <f t="shared" si="102"/>
        <v>0</v>
      </c>
      <c r="AO94" s="102">
        <f t="shared" si="102"/>
        <v>0</v>
      </c>
      <c r="AP94" s="102">
        <f t="shared" si="102"/>
        <v>0</v>
      </c>
      <c r="AQ94" s="102">
        <f t="shared" si="102"/>
        <v>0</v>
      </c>
      <c r="AR94" s="102">
        <f t="shared" si="102"/>
        <v>0</v>
      </c>
      <c r="AS94" s="102">
        <f t="shared" si="102"/>
        <v>0</v>
      </c>
      <c r="AT94" s="102">
        <f t="shared" si="102"/>
        <v>0</v>
      </c>
      <c r="AU94" s="102">
        <f t="shared" si="102"/>
        <v>0</v>
      </c>
      <c r="AV94" s="102"/>
      <c r="AW94" s="102"/>
      <c r="AX94" s="102"/>
      <c r="AY94" s="102"/>
      <c r="AZ94" s="102"/>
      <c r="BA94" s="102"/>
      <c r="BB94" s="102"/>
      <c r="BC94" s="102"/>
      <c r="BD94" s="102"/>
      <c r="BE94" s="102"/>
      <c r="BF94" s="102"/>
      <c r="BG94" s="102"/>
      <c r="BH94" s="102"/>
      <c r="BI94" s="102"/>
    </row>
    <row r="95" spans="1:61" s="17" customFormat="1" hidden="1" outlineLevel="1" x14ac:dyDescent="0.25">
      <c r="A95" s="16" t="str">
        <f t="shared" si="98"/>
        <v xml:space="preserve">Debt Servicing </v>
      </c>
      <c r="B95" s="101">
        <f t="shared" si="82"/>
        <v>0</v>
      </c>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f t="shared" ref="AG95:AT95" si="103">+AG94</f>
        <v>0</v>
      </c>
      <c r="AH95" s="102">
        <f t="shared" si="103"/>
        <v>0</v>
      </c>
      <c r="AI95" s="102">
        <f t="shared" si="103"/>
        <v>0</v>
      </c>
      <c r="AJ95" s="102">
        <f t="shared" si="103"/>
        <v>0</v>
      </c>
      <c r="AK95" s="102">
        <f t="shared" si="103"/>
        <v>0</v>
      </c>
      <c r="AL95" s="102">
        <f t="shared" si="103"/>
        <v>0</v>
      </c>
      <c r="AM95" s="102">
        <f t="shared" si="103"/>
        <v>0</v>
      </c>
      <c r="AN95" s="102">
        <f t="shared" si="103"/>
        <v>0</v>
      </c>
      <c r="AO95" s="102">
        <f t="shared" si="103"/>
        <v>0</v>
      </c>
      <c r="AP95" s="102">
        <f t="shared" si="103"/>
        <v>0</v>
      </c>
      <c r="AQ95" s="102">
        <f t="shared" si="103"/>
        <v>0</v>
      </c>
      <c r="AR95" s="102">
        <f t="shared" si="103"/>
        <v>0</v>
      </c>
      <c r="AS95" s="102">
        <f t="shared" si="103"/>
        <v>0</v>
      </c>
      <c r="AT95" s="102">
        <f t="shared" si="103"/>
        <v>0</v>
      </c>
      <c r="AU95" s="102"/>
      <c r="AV95" s="102"/>
      <c r="AW95" s="102"/>
      <c r="AX95" s="102"/>
      <c r="AY95" s="102"/>
      <c r="AZ95" s="102"/>
      <c r="BA95" s="102"/>
      <c r="BB95" s="102"/>
      <c r="BC95" s="102"/>
      <c r="BD95" s="102"/>
      <c r="BE95" s="102"/>
      <c r="BF95" s="102"/>
      <c r="BG95" s="102"/>
      <c r="BH95" s="102"/>
      <c r="BI95" s="102"/>
    </row>
    <row r="96" spans="1:61" s="17" customFormat="1" hidden="1" outlineLevel="1" x14ac:dyDescent="0.25">
      <c r="A96" s="16" t="str">
        <f t="shared" si="98"/>
        <v>Balance mid year</v>
      </c>
      <c r="B96" s="101">
        <f t="shared" si="82"/>
        <v>0</v>
      </c>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f t="shared" ref="AG96:AU96" si="104">+AF97-AG90</f>
        <v>0</v>
      </c>
      <c r="AH96" s="102">
        <f t="shared" si="104"/>
        <v>0</v>
      </c>
      <c r="AI96" s="102">
        <f t="shared" si="104"/>
        <v>0</v>
      </c>
      <c r="AJ96" s="102">
        <f t="shared" si="104"/>
        <v>0</v>
      </c>
      <c r="AK96" s="102">
        <f t="shared" si="104"/>
        <v>0</v>
      </c>
      <c r="AL96" s="102">
        <f t="shared" si="104"/>
        <v>0</v>
      </c>
      <c r="AM96" s="102">
        <f t="shared" si="104"/>
        <v>0</v>
      </c>
      <c r="AN96" s="102">
        <f t="shared" si="104"/>
        <v>0</v>
      </c>
      <c r="AO96" s="102">
        <f t="shared" si="104"/>
        <v>0</v>
      </c>
      <c r="AP96" s="102">
        <f t="shared" si="104"/>
        <v>0</v>
      </c>
      <c r="AQ96" s="102">
        <f t="shared" si="104"/>
        <v>0</v>
      </c>
      <c r="AR96" s="102">
        <f t="shared" si="104"/>
        <v>0</v>
      </c>
      <c r="AS96" s="102">
        <f t="shared" si="104"/>
        <v>0</v>
      </c>
      <c r="AT96" s="102">
        <f t="shared" si="104"/>
        <v>0</v>
      </c>
      <c r="AU96" s="102">
        <f t="shared" si="104"/>
        <v>0</v>
      </c>
      <c r="AV96" s="102"/>
      <c r="AW96" s="102"/>
      <c r="AX96" s="102"/>
      <c r="AY96" s="102"/>
      <c r="AZ96" s="102"/>
      <c r="BA96" s="102"/>
      <c r="BB96" s="102"/>
      <c r="BC96" s="102"/>
      <c r="BD96" s="102"/>
      <c r="BE96" s="102"/>
      <c r="BF96" s="102"/>
      <c r="BG96" s="102"/>
      <c r="BH96" s="102"/>
      <c r="BI96" s="102"/>
    </row>
    <row r="97" spans="1:61" s="17" customFormat="1" hidden="1" outlineLevel="1" x14ac:dyDescent="0.25">
      <c r="A97" s="16" t="str">
        <f t="shared" si="98"/>
        <v>Balance</v>
      </c>
      <c r="B97" s="101">
        <f t="shared" si="82"/>
        <v>0</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f>AF89-AF90</f>
        <v>0</v>
      </c>
      <c r="AG97" s="102">
        <f t="shared" ref="AG97:AU97" si="105">+AG96-AG91</f>
        <v>0</v>
      </c>
      <c r="AH97" s="102">
        <f t="shared" si="105"/>
        <v>0</v>
      </c>
      <c r="AI97" s="102">
        <f t="shared" si="105"/>
        <v>0</v>
      </c>
      <c r="AJ97" s="102">
        <f t="shared" si="105"/>
        <v>0</v>
      </c>
      <c r="AK97" s="102">
        <f t="shared" si="105"/>
        <v>0</v>
      </c>
      <c r="AL97" s="102">
        <f t="shared" si="105"/>
        <v>0</v>
      </c>
      <c r="AM97" s="102">
        <f t="shared" si="105"/>
        <v>0</v>
      </c>
      <c r="AN97" s="102">
        <f t="shared" si="105"/>
        <v>0</v>
      </c>
      <c r="AO97" s="102">
        <f t="shared" si="105"/>
        <v>0</v>
      </c>
      <c r="AP97" s="102">
        <f t="shared" si="105"/>
        <v>0</v>
      </c>
      <c r="AQ97" s="102">
        <f t="shared" si="105"/>
        <v>0</v>
      </c>
      <c r="AR97" s="102">
        <f t="shared" si="105"/>
        <v>0</v>
      </c>
      <c r="AS97" s="102">
        <f t="shared" si="105"/>
        <v>0</v>
      </c>
      <c r="AT97" s="102">
        <f t="shared" si="105"/>
        <v>0</v>
      </c>
      <c r="AU97" s="102">
        <f t="shared" si="105"/>
        <v>0</v>
      </c>
      <c r="AV97" s="102"/>
      <c r="AW97" s="102"/>
      <c r="AX97" s="102"/>
      <c r="AY97" s="102"/>
      <c r="AZ97" s="102"/>
      <c r="BA97" s="102"/>
      <c r="BB97" s="102"/>
      <c r="BC97" s="102"/>
      <c r="BD97" s="102"/>
      <c r="BE97" s="102"/>
      <c r="BF97" s="102"/>
      <c r="BG97" s="102"/>
      <c r="BH97" s="102"/>
      <c r="BI97" s="102"/>
    </row>
    <row r="98" spans="1:61" s="17" customFormat="1" hidden="1" outlineLevel="1" x14ac:dyDescent="0.25">
      <c r="A98" s="16"/>
      <c r="B98" s="101"/>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row>
    <row r="99" spans="1:61" hidden="1" outlineLevel="1" x14ac:dyDescent="0.25">
      <c r="A99" s="20" t="str">
        <f t="shared" ref="A99:A107" si="106">A89</f>
        <v>Debt Forecasted</v>
      </c>
      <c r="B99" s="101">
        <f t="shared" ref="B99:B117" si="107">SUM(C99:BB99)</f>
        <v>0</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f>AG8</f>
        <v>0</v>
      </c>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row>
    <row r="100" spans="1:61" s="17" customFormat="1" hidden="1" outlineLevel="1" x14ac:dyDescent="0.25">
      <c r="A100" s="16" t="str">
        <f t="shared" si="106"/>
        <v>Principal</v>
      </c>
      <c r="B100" s="101">
        <f t="shared" si="107"/>
        <v>0</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f t="shared" ref="AG100:AV101" si="108">+AG104-AG102</f>
        <v>0</v>
      </c>
      <c r="AH100" s="102">
        <f t="shared" si="108"/>
        <v>0</v>
      </c>
      <c r="AI100" s="102">
        <f t="shared" si="108"/>
        <v>0</v>
      </c>
      <c r="AJ100" s="102">
        <f t="shared" si="108"/>
        <v>0</v>
      </c>
      <c r="AK100" s="102">
        <f t="shared" si="108"/>
        <v>0</v>
      </c>
      <c r="AL100" s="102">
        <f t="shared" si="108"/>
        <v>0</v>
      </c>
      <c r="AM100" s="102">
        <f t="shared" si="108"/>
        <v>0</v>
      </c>
      <c r="AN100" s="102">
        <f t="shared" si="108"/>
        <v>0</v>
      </c>
      <c r="AO100" s="102">
        <f t="shared" si="108"/>
        <v>0</v>
      </c>
      <c r="AP100" s="102">
        <f t="shared" si="108"/>
        <v>0</v>
      </c>
      <c r="AQ100" s="102">
        <f t="shared" si="108"/>
        <v>0</v>
      </c>
      <c r="AR100" s="102">
        <f t="shared" si="108"/>
        <v>0</v>
      </c>
      <c r="AS100" s="102">
        <f t="shared" si="108"/>
        <v>0</v>
      </c>
      <c r="AT100" s="102">
        <f t="shared" si="108"/>
        <v>0</v>
      </c>
      <c r="AU100" s="102">
        <f t="shared" si="108"/>
        <v>0</v>
      </c>
      <c r="AV100" s="102">
        <f t="shared" si="108"/>
        <v>0</v>
      </c>
      <c r="AW100" s="102"/>
      <c r="AX100" s="102"/>
      <c r="AY100" s="102"/>
      <c r="AZ100" s="102"/>
      <c r="BA100" s="102"/>
      <c r="BB100" s="102"/>
      <c r="BC100" s="102"/>
      <c r="BD100" s="102"/>
      <c r="BE100" s="102"/>
      <c r="BF100" s="102"/>
      <c r="BG100" s="102"/>
      <c r="BH100" s="102"/>
      <c r="BI100" s="102"/>
    </row>
    <row r="101" spans="1:61" s="17" customFormat="1" hidden="1" outlineLevel="1" x14ac:dyDescent="0.25">
      <c r="A101" s="16" t="str">
        <f t="shared" si="106"/>
        <v>Principal</v>
      </c>
      <c r="B101" s="101">
        <f t="shared" si="107"/>
        <v>0</v>
      </c>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f t="shared" si="108"/>
        <v>0</v>
      </c>
      <c r="AI101" s="102">
        <f t="shared" si="108"/>
        <v>0</v>
      </c>
      <c r="AJ101" s="102">
        <f t="shared" si="108"/>
        <v>0</v>
      </c>
      <c r="AK101" s="102">
        <f t="shared" si="108"/>
        <v>0</v>
      </c>
      <c r="AL101" s="102">
        <f t="shared" si="108"/>
        <v>0</v>
      </c>
      <c r="AM101" s="102">
        <f t="shared" si="108"/>
        <v>0</v>
      </c>
      <c r="AN101" s="102">
        <f t="shared" si="108"/>
        <v>0</v>
      </c>
      <c r="AO101" s="102">
        <f t="shared" si="108"/>
        <v>0</v>
      </c>
      <c r="AP101" s="102">
        <f t="shared" si="108"/>
        <v>0</v>
      </c>
      <c r="AQ101" s="102">
        <f t="shared" si="108"/>
        <v>0</v>
      </c>
      <c r="AR101" s="102">
        <f t="shared" si="108"/>
        <v>0</v>
      </c>
      <c r="AS101" s="102">
        <f t="shared" si="108"/>
        <v>0</v>
      </c>
      <c r="AT101" s="102">
        <f t="shared" si="108"/>
        <v>0</v>
      </c>
      <c r="AU101" s="102">
        <f t="shared" si="108"/>
        <v>0</v>
      </c>
      <c r="AV101" s="102">
        <f t="shared" si="108"/>
        <v>0</v>
      </c>
      <c r="AW101" s="102"/>
      <c r="AX101" s="102"/>
      <c r="AY101" s="102"/>
      <c r="AZ101" s="102"/>
      <c r="BA101" s="102"/>
      <c r="BB101" s="102"/>
      <c r="BC101" s="102"/>
      <c r="BD101" s="102"/>
      <c r="BE101" s="102"/>
      <c r="BF101" s="102"/>
      <c r="BG101" s="102"/>
      <c r="BH101" s="102"/>
      <c r="BI101" s="102"/>
    </row>
    <row r="102" spans="1:61" s="17" customFormat="1" hidden="1" outlineLevel="1" x14ac:dyDescent="0.25">
      <c r="A102" s="16" t="str">
        <f t="shared" si="106"/>
        <v>Interest</v>
      </c>
      <c r="B102" s="101">
        <f t="shared" si="107"/>
        <v>0</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f>AG8*AG9/2</f>
        <v>0</v>
      </c>
      <c r="AH102" s="102">
        <f>+AG107*$AG$9/2</f>
        <v>0</v>
      </c>
      <c r="AI102" s="102">
        <f t="shared" ref="AI102:AV102" si="109">+AH107*$AG$9/2</f>
        <v>0</v>
      </c>
      <c r="AJ102" s="102">
        <f t="shared" si="109"/>
        <v>0</v>
      </c>
      <c r="AK102" s="102">
        <f t="shared" si="109"/>
        <v>0</v>
      </c>
      <c r="AL102" s="102">
        <f t="shared" si="109"/>
        <v>0</v>
      </c>
      <c r="AM102" s="102">
        <f t="shared" si="109"/>
        <v>0</v>
      </c>
      <c r="AN102" s="102">
        <f t="shared" si="109"/>
        <v>0</v>
      </c>
      <c r="AO102" s="102">
        <f t="shared" si="109"/>
        <v>0</v>
      </c>
      <c r="AP102" s="102">
        <f t="shared" si="109"/>
        <v>0</v>
      </c>
      <c r="AQ102" s="102">
        <f t="shared" si="109"/>
        <v>0</v>
      </c>
      <c r="AR102" s="102">
        <f t="shared" si="109"/>
        <v>0</v>
      </c>
      <c r="AS102" s="102">
        <f t="shared" si="109"/>
        <v>0</v>
      </c>
      <c r="AT102" s="102">
        <f t="shared" si="109"/>
        <v>0</v>
      </c>
      <c r="AU102" s="102">
        <f t="shared" si="109"/>
        <v>0</v>
      </c>
      <c r="AV102" s="102">
        <f t="shared" si="109"/>
        <v>0</v>
      </c>
      <c r="AW102" s="102"/>
      <c r="AX102" s="102"/>
      <c r="AY102" s="102"/>
      <c r="AZ102" s="102"/>
      <c r="BA102" s="102"/>
      <c r="BB102" s="102"/>
      <c r="BC102" s="102"/>
      <c r="BD102" s="102"/>
      <c r="BE102" s="102"/>
      <c r="BF102" s="102"/>
      <c r="BG102" s="102"/>
      <c r="BH102" s="102"/>
      <c r="BI102" s="102"/>
    </row>
    <row r="103" spans="1:61" s="17" customFormat="1" hidden="1" outlineLevel="1" x14ac:dyDescent="0.25">
      <c r="A103" s="16" t="str">
        <f t="shared" si="106"/>
        <v>Interest</v>
      </c>
      <c r="B103" s="101">
        <f t="shared" si="107"/>
        <v>0</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f>+AH106*$AG$9/2</f>
        <v>0</v>
      </c>
      <c r="AI103" s="102">
        <f t="shared" ref="AI103:AV103" si="110">+AI106*$AG$9/2</f>
        <v>0</v>
      </c>
      <c r="AJ103" s="102">
        <f t="shared" si="110"/>
        <v>0</v>
      </c>
      <c r="AK103" s="102">
        <f t="shared" si="110"/>
        <v>0</v>
      </c>
      <c r="AL103" s="102">
        <f t="shared" si="110"/>
        <v>0</v>
      </c>
      <c r="AM103" s="102">
        <f t="shared" si="110"/>
        <v>0</v>
      </c>
      <c r="AN103" s="102">
        <f t="shared" si="110"/>
        <v>0</v>
      </c>
      <c r="AO103" s="102">
        <f t="shared" si="110"/>
        <v>0</v>
      </c>
      <c r="AP103" s="102">
        <f t="shared" si="110"/>
        <v>0</v>
      </c>
      <c r="AQ103" s="102">
        <f t="shared" si="110"/>
        <v>0</v>
      </c>
      <c r="AR103" s="102">
        <f t="shared" si="110"/>
        <v>0</v>
      </c>
      <c r="AS103" s="102">
        <f t="shared" si="110"/>
        <v>0</v>
      </c>
      <c r="AT103" s="102">
        <f t="shared" si="110"/>
        <v>0</v>
      </c>
      <c r="AU103" s="102">
        <f t="shared" si="110"/>
        <v>0</v>
      </c>
      <c r="AV103" s="102">
        <f t="shared" si="110"/>
        <v>0</v>
      </c>
      <c r="AW103" s="102"/>
      <c r="AX103" s="102"/>
      <c r="AY103" s="102"/>
      <c r="AZ103" s="102"/>
      <c r="BA103" s="102"/>
      <c r="BB103" s="102"/>
      <c r="BC103" s="102"/>
      <c r="BD103" s="102"/>
      <c r="BE103" s="102"/>
      <c r="BF103" s="102"/>
      <c r="BG103" s="102"/>
      <c r="BH103" s="102"/>
      <c r="BI103" s="102"/>
    </row>
    <row r="104" spans="1:61" s="17" customFormat="1" hidden="1" outlineLevel="1" x14ac:dyDescent="0.25">
      <c r="A104" s="16" t="str">
        <f t="shared" si="106"/>
        <v xml:space="preserve">Debt Servicing </v>
      </c>
      <c r="B104" s="101">
        <f t="shared" si="107"/>
        <v>0</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f>-PMT(AG9/2,AG10*2,AG8)</f>
        <v>0</v>
      </c>
      <c r="AH104" s="102">
        <f t="shared" ref="AH104:AV104" si="111">+AG104</f>
        <v>0</v>
      </c>
      <c r="AI104" s="102">
        <f t="shared" si="111"/>
        <v>0</v>
      </c>
      <c r="AJ104" s="102">
        <f t="shared" si="111"/>
        <v>0</v>
      </c>
      <c r="AK104" s="102">
        <f t="shared" si="111"/>
        <v>0</v>
      </c>
      <c r="AL104" s="102">
        <f t="shared" si="111"/>
        <v>0</v>
      </c>
      <c r="AM104" s="102">
        <f t="shared" si="111"/>
        <v>0</v>
      </c>
      <c r="AN104" s="102">
        <f t="shared" si="111"/>
        <v>0</v>
      </c>
      <c r="AO104" s="102">
        <f t="shared" si="111"/>
        <v>0</v>
      </c>
      <c r="AP104" s="102">
        <f t="shared" si="111"/>
        <v>0</v>
      </c>
      <c r="AQ104" s="102">
        <f t="shared" si="111"/>
        <v>0</v>
      </c>
      <c r="AR104" s="102">
        <f t="shared" si="111"/>
        <v>0</v>
      </c>
      <c r="AS104" s="102">
        <f t="shared" si="111"/>
        <v>0</v>
      </c>
      <c r="AT104" s="102">
        <f t="shared" si="111"/>
        <v>0</v>
      </c>
      <c r="AU104" s="102">
        <f t="shared" si="111"/>
        <v>0</v>
      </c>
      <c r="AV104" s="102">
        <f t="shared" si="111"/>
        <v>0</v>
      </c>
      <c r="AW104" s="102"/>
      <c r="AX104" s="102"/>
      <c r="AY104" s="102"/>
      <c r="AZ104" s="102"/>
      <c r="BA104" s="102"/>
      <c r="BB104" s="102"/>
      <c r="BC104" s="102"/>
      <c r="BD104" s="102"/>
      <c r="BE104" s="102"/>
      <c r="BF104" s="102"/>
      <c r="BG104" s="102"/>
      <c r="BH104" s="102"/>
      <c r="BI104" s="102"/>
    </row>
    <row r="105" spans="1:61" s="17" customFormat="1" hidden="1" outlineLevel="1" x14ac:dyDescent="0.25">
      <c r="A105" s="16" t="str">
        <f t="shared" si="106"/>
        <v xml:space="preserve">Debt Servicing </v>
      </c>
      <c r="B105" s="101">
        <f t="shared" si="107"/>
        <v>0</v>
      </c>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f t="shared" ref="AH105:AU105" si="112">+AH104</f>
        <v>0</v>
      </c>
      <c r="AI105" s="102">
        <f t="shared" si="112"/>
        <v>0</v>
      </c>
      <c r="AJ105" s="102">
        <f t="shared" si="112"/>
        <v>0</v>
      </c>
      <c r="AK105" s="102">
        <f t="shared" si="112"/>
        <v>0</v>
      </c>
      <c r="AL105" s="102">
        <f t="shared" si="112"/>
        <v>0</v>
      </c>
      <c r="AM105" s="102">
        <f t="shared" si="112"/>
        <v>0</v>
      </c>
      <c r="AN105" s="102">
        <f t="shared" si="112"/>
        <v>0</v>
      </c>
      <c r="AO105" s="102">
        <f t="shared" si="112"/>
        <v>0</v>
      </c>
      <c r="AP105" s="102">
        <f t="shared" si="112"/>
        <v>0</v>
      </c>
      <c r="AQ105" s="102">
        <f t="shared" si="112"/>
        <v>0</v>
      </c>
      <c r="AR105" s="102">
        <f t="shared" si="112"/>
        <v>0</v>
      </c>
      <c r="AS105" s="102">
        <f t="shared" si="112"/>
        <v>0</v>
      </c>
      <c r="AT105" s="102">
        <f t="shared" si="112"/>
        <v>0</v>
      </c>
      <c r="AU105" s="102">
        <f t="shared" si="112"/>
        <v>0</v>
      </c>
      <c r="AV105" s="102"/>
      <c r="AW105" s="102"/>
      <c r="AX105" s="102"/>
      <c r="AY105" s="102"/>
      <c r="AZ105" s="102"/>
      <c r="BA105" s="102"/>
      <c r="BB105" s="102"/>
      <c r="BC105" s="102"/>
      <c r="BD105" s="102"/>
      <c r="BE105" s="102"/>
      <c r="BF105" s="102"/>
      <c r="BG105" s="102"/>
      <c r="BH105" s="102"/>
      <c r="BI105" s="102"/>
    </row>
    <row r="106" spans="1:61" s="17" customFormat="1" hidden="1" outlineLevel="1" x14ac:dyDescent="0.25">
      <c r="A106" s="16" t="str">
        <f t="shared" si="106"/>
        <v>Balance mid year</v>
      </c>
      <c r="B106" s="101">
        <f t="shared" si="107"/>
        <v>0</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f t="shared" ref="AH106:AV106" si="113">+AG107-AH100</f>
        <v>0</v>
      </c>
      <c r="AI106" s="102">
        <f t="shared" si="113"/>
        <v>0</v>
      </c>
      <c r="AJ106" s="102">
        <f t="shared" si="113"/>
        <v>0</v>
      </c>
      <c r="AK106" s="102">
        <f t="shared" si="113"/>
        <v>0</v>
      </c>
      <c r="AL106" s="102">
        <f t="shared" si="113"/>
        <v>0</v>
      </c>
      <c r="AM106" s="102">
        <f t="shared" si="113"/>
        <v>0</v>
      </c>
      <c r="AN106" s="102">
        <f t="shared" si="113"/>
        <v>0</v>
      </c>
      <c r="AO106" s="102">
        <f t="shared" si="113"/>
        <v>0</v>
      </c>
      <c r="AP106" s="102">
        <f t="shared" si="113"/>
        <v>0</v>
      </c>
      <c r="AQ106" s="102">
        <f t="shared" si="113"/>
        <v>0</v>
      </c>
      <c r="AR106" s="102">
        <f t="shared" si="113"/>
        <v>0</v>
      </c>
      <c r="AS106" s="102">
        <f t="shared" si="113"/>
        <v>0</v>
      </c>
      <c r="AT106" s="102">
        <f t="shared" si="113"/>
        <v>0</v>
      </c>
      <c r="AU106" s="102">
        <f t="shared" si="113"/>
        <v>0</v>
      </c>
      <c r="AV106" s="102">
        <f t="shared" si="113"/>
        <v>0</v>
      </c>
      <c r="AW106" s="102"/>
      <c r="AX106" s="102"/>
      <c r="AY106" s="102"/>
      <c r="AZ106" s="102"/>
      <c r="BA106" s="102"/>
      <c r="BB106" s="102"/>
      <c r="BC106" s="102"/>
      <c r="BD106" s="102"/>
      <c r="BE106" s="102"/>
      <c r="BF106" s="102"/>
      <c r="BG106" s="102"/>
      <c r="BH106" s="102"/>
      <c r="BI106" s="102"/>
    </row>
    <row r="107" spans="1:61" s="17" customFormat="1" hidden="1" outlineLevel="1" x14ac:dyDescent="0.25">
      <c r="A107" s="16" t="str">
        <f t="shared" si="106"/>
        <v>Balance</v>
      </c>
      <c r="B107" s="101">
        <f t="shared" si="107"/>
        <v>0</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f>AG99-AG100</f>
        <v>0</v>
      </c>
      <c r="AH107" s="102">
        <f t="shared" ref="AH107:AV107" si="114">+AH106-AH101</f>
        <v>0</v>
      </c>
      <c r="AI107" s="102">
        <f t="shared" si="114"/>
        <v>0</v>
      </c>
      <c r="AJ107" s="102">
        <f t="shared" si="114"/>
        <v>0</v>
      </c>
      <c r="AK107" s="102">
        <f t="shared" si="114"/>
        <v>0</v>
      </c>
      <c r="AL107" s="102">
        <f t="shared" si="114"/>
        <v>0</v>
      </c>
      <c r="AM107" s="102">
        <f t="shared" si="114"/>
        <v>0</v>
      </c>
      <c r="AN107" s="102">
        <f t="shared" si="114"/>
        <v>0</v>
      </c>
      <c r="AO107" s="102">
        <f t="shared" si="114"/>
        <v>0</v>
      </c>
      <c r="AP107" s="102">
        <f t="shared" si="114"/>
        <v>0</v>
      </c>
      <c r="AQ107" s="102">
        <f t="shared" si="114"/>
        <v>0</v>
      </c>
      <c r="AR107" s="102">
        <f t="shared" si="114"/>
        <v>0</v>
      </c>
      <c r="AS107" s="102">
        <f t="shared" si="114"/>
        <v>0</v>
      </c>
      <c r="AT107" s="102">
        <f t="shared" si="114"/>
        <v>0</v>
      </c>
      <c r="AU107" s="102">
        <f t="shared" si="114"/>
        <v>0</v>
      </c>
      <c r="AV107" s="102">
        <f t="shared" si="114"/>
        <v>0</v>
      </c>
      <c r="AW107" s="102"/>
      <c r="AX107" s="102"/>
      <c r="AY107" s="102"/>
      <c r="AZ107" s="102"/>
      <c r="BA107" s="102"/>
      <c r="BB107" s="102"/>
      <c r="BC107" s="102"/>
      <c r="BD107" s="102"/>
      <c r="BE107" s="102"/>
      <c r="BF107" s="102"/>
      <c r="BG107" s="102"/>
      <c r="BH107" s="102"/>
      <c r="BI107" s="102"/>
    </row>
    <row r="108" spans="1:61" s="17" customFormat="1" hidden="1" outlineLevel="1" x14ac:dyDescent="0.25">
      <c r="A108" s="16"/>
      <c r="B108" s="101">
        <f t="shared" si="107"/>
        <v>0</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row>
    <row r="109" spans="1:61" hidden="1" outlineLevel="1" x14ac:dyDescent="0.25">
      <c r="A109" s="20" t="str">
        <f t="shared" ref="A109:A117" si="115">A99</f>
        <v>Debt Forecasted</v>
      </c>
      <c r="B109" s="101">
        <f t="shared" si="107"/>
        <v>0</v>
      </c>
      <c r="C109" s="102">
        <v>0</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f>AH8</f>
        <v>0</v>
      </c>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row>
    <row r="110" spans="1:61" s="17" customFormat="1" hidden="1" outlineLevel="1" x14ac:dyDescent="0.25">
      <c r="A110" s="16" t="str">
        <f t="shared" si="115"/>
        <v>Principal</v>
      </c>
      <c r="B110" s="101">
        <f t="shared" si="107"/>
        <v>0</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f t="shared" ref="AH110:AW111" si="116">+AH114-AH112</f>
        <v>0</v>
      </c>
      <c r="AI110" s="102">
        <f t="shared" si="116"/>
        <v>0</v>
      </c>
      <c r="AJ110" s="102">
        <f t="shared" si="116"/>
        <v>0</v>
      </c>
      <c r="AK110" s="102">
        <f t="shared" si="116"/>
        <v>0</v>
      </c>
      <c r="AL110" s="102">
        <f t="shared" si="116"/>
        <v>0</v>
      </c>
      <c r="AM110" s="102">
        <f t="shared" si="116"/>
        <v>0</v>
      </c>
      <c r="AN110" s="102">
        <f t="shared" si="116"/>
        <v>0</v>
      </c>
      <c r="AO110" s="102">
        <f t="shared" si="116"/>
        <v>0</v>
      </c>
      <c r="AP110" s="102">
        <f t="shared" si="116"/>
        <v>0</v>
      </c>
      <c r="AQ110" s="102">
        <f t="shared" si="116"/>
        <v>0</v>
      </c>
      <c r="AR110" s="102">
        <f t="shared" si="116"/>
        <v>0</v>
      </c>
      <c r="AS110" s="102">
        <f t="shared" si="116"/>
        <v>0</v>
      </c>
      <c r="AT110" s="102">
        <f t="shared" si="116"/>
        <v>0</v>
      </c>
      <c r="AU110" s="102">
        <f t="shared" si="116"/>
        <v>0</v>
      </c>
      <c r="AV110" s="102">
        <f t="shared" si="116"/>
        <v>0</v>
      </c>
      <c r="AW110" s="102">
        <f t="shared" si="116"/>
        <v>0</v>
      </c>
      <c r="AX110" s="102"/>
      <c r="AY110" s="102"/>
      <c r="AZ110" s="102"/>
      <c r="BA110" s="102"/>
      <c r="BB110" s="102"/>
      <c r="BC110" s="102"/>
      <c r="BD110" s="102"/>
      <c r="BE110" s="102"/>
      <c r="BF110" s="102"/>
      <c r="BG110" s="102"/>
      <c r="BH110" s="102"/>
      <c r="BI110" s="102"/>
    </row>
    <row r="111" spans="1:61" s="17" customFormat="1" hidden="1" outlineLevel="1" x14ac:dyDescent="0.25">
      <c r="A111" s="16" t="str">
        <f t="shared" si="115"/>
        <v>Principal</v>
      </c>
      <c r="B111" s="101">
        <f t="shared" si="107"/>
        <v>0</v>
      </c>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f t="shared" si="116"/>
        <v>0</v>
      </c>
      <c r="AJ111" s="102">
        <f t="shared" si="116"/>
        <v>0</v>
      </c>
      <c r="AK111" s="102">
        <f t="shared" si="116"/>
        <v>0</v>
      </c>
      <c r="AL111" s="102">
        <f t="shared" si="116"/>
        <v>0</v>
      </c>
      <c r="AM111" s="102">
        <f t="shared" si="116"/>
        <v>0</v>
      </c>
      <c r="AN111" s="102">
        <f t="shared" si="116"/>
        <v>0</v>
      </c>
      <c r="AO111" s="102">
        <f t="shared" si="116"/>
        <v>0</v>
      </c>
      <c r="AP111" s="102">
        <f t="shared" si="116"/>
        <v>0</v>
      </c>
      <c r="AQ111" s="102">
        <f t="shared" si="116"/>
        <v>0</v>
      </c>
      <c r="AR111" s="102">
        <f t="shared" si="116"/>
        <v>0</v>
      </c>
      <c r="AS111" s="102">
        <f t="shared" si="116"/>
        <v>0</v>
      </c>
      <c r="AT111" s="102">
        <f t="shared" si="116"/>
        <v>0</v>
      </c>
      <c r="AU111" s="102">
        <f t="shared" si="116"/>
        <v>0</v>
      </c>
      <c r="AV111" s="102">
        <f t="shared" si="116"/>
        <v>0</v>
      </c>
      <c r="AW111" s="102">
        <f t="shared" si="116"/>
        <v>0</v>
      </c>
      <c r="AX111" s="102"/>
      <c r="AY111" s="102"/>
      <c r="AZ111" s="102"/>
      <c r="BA111" s="102"/>
      <c r="BB111" s="102"/>
      <c r="BC111" s="102"/>
      <c r="BD111" s="102"/>
      <c r="BE111" s="102"/>
      <c r="BF111" s="102"/>
      <c r="BG111" s="102"/>
      <c r="BH111" s="102"/>
      <c r="BI111" s="102"/>
    </row>
    <row r="112" spans="1:61" s="17" customFormat="1" hidden="1" outlineLevel="1" x14ac:dyDescent="0.25">
      <c r="A112" s="16" t="str">
        <f t="shared" si="115"/>
        <v>Interest</v>
      </c>
      <c r="B112" s="101">
        <f t="shared" si="107"/>
        <v>0</v>
      </c>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f>+AH109*AH9/2</f>
        <v>0</v>
      </c>
      <c r="AI112" s="102">
        <f>+AH117*$AH$9/2</f>
        <v>0</v>
      </c>
      <c r="AJ112" s="102">
        <f t="shared" ref="AJ112:AW112" si="117">+AI117*$AH$9/2</f>
        <v>0</v>
      </c>
      <c r="AK112" s="102">
        <f t="shared" si="117"/>
        <v>0</v>
      </c>
      <c r="AL112" s="102">
        <f t="shared" si="117"/>
        <v>0</v>
      </c>
      <c r="AM112" s="102">
        <f t="shared" si="117"/>
        <v>0</v>
      </c>
      <c r="AN112" s="102">
        <f t="shared" si="117"/>
        <v>0</v>
      </c>
      <c r="AO112" s="102">
        <f t="shared" si="117"/>
        <v>0</v>
      </c>
      <c r="AP112" s="102">
        <f t="shared" si="117"/>
        <v>0</v>
      </c>
      <c r="AQ112" s="102">
        <f t="shared" si="117"/>
        <v>0</v>
      </c>
      <c r="AR112" s="102">
        <f t="shared" si="117"/>
        <v>0</v>
      </c>
      <c r="AS112" s="102">
        <f t="shared" si="117"/>
        <v>0</v>
      </c>
      <c r="AT112" s="102">
        <f t="shared" si="117"/>
        <v>0</v>
      </c>
      <c r="AU112" s="102">
        <f t="shared" si="117"/>
        <v>0</v>
      </c>
      <c r="AV112" s="102">
        <f t="shared" si="117"/>
        <v>0</v>
      </c>
      <c r="AW112" s="102">
        <f t="shared" si="117"/>
        <v>0</v>
      </c>
      <c r="AX112" s="102"/>
      <c r="AY112" s="102"/>
      <c r="AZ112" s="102"/>
      <c r="BA112" s="102"/>
      <c r="BB112" s="102"/>
      <c r="BC112" s="102"/>
      <c r="BD112" s="102"/>
      <c r="BE112" s="102"/>
      <c r="BF112" s="102"/>
      <c r="BG112" s="102"/>
      <c r="BH112" s="102"/>
      <c r="BI112" s="102"/>
    </row>
    <row r="113" spans="1:61" s="17" customFormat="1" hidden="1" outlineLevel="1" x14ac:dyDescent="0.25">
      <c r="A113" s="16" t="str">
        <f t="shared" si="115"/>
        <v>Interest</v>
      </c>
      <c r="B113" s="101">
        <f t="shared" si="107"/>
        <v>0</v>
      </c>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f>+AI116*$AH$9/2</f>
        <v>0</v>
      </c>
      <c r="AJ113" s="102">
        <f t="shared" ref="AJ113:AW113" si="118">+AJ116*$AH$9/2</f>
        <v>0</v>
      </c>
      <c r="AK113" s="102">
        <f t="shared" si="118"/>
        <v>0</v>
      </c>
      <c r="AL113" s="102">
        <f t="shared" si="118"/>
        <v>0</v>
      </c>
      <c r="AM113" s="102">
        <f t="shared" si="118"/>
        <v>0</v>
      </c>
      <c r="AN113" s="102">
        <f t="shared" si="118"/>
        <v>0</v>
      </c>
      <c r="AO113" s="102">
        <f t="shared" si="118"/>
        <v>0</v>
      </c>
      <c r="AP113" s="102">
        <f t="shared" si="118"/>
        <v>0</v>
      </c>
      <c r="AQ113" s="102">
        <f t="shared" si="118"/>
        <v>0</v>
      </c>
      <c r="AR113" s="102">
        <f t="shared" si="118"/>
        <v>0</v>
      </c>
      <c r="AS113" s="102">
        <f t="shared" si="118"/>
        <v>0</v>
      </c>
      <c r="AT113" s="102">
        <f t="shared" si="118"/>
        <v>0</v>
      </c>
      <c r="AU113" s="102">
        <f t="shared" si="118"/>
        <v>0</v>
      </c>
      <c r="AV113" s="102">
        <f t="shared" si="118"/>
        <v>0</v>
      </c>
      <c r="AW113" s="102">
        <f t="shared" si="118"/>
        <v>0</v>
      </c>
      <c r="AX113" s="102"/>
      <c r="AY113" s="102"/>
      <c r="AZ113" s="102"/>
      <c r="BA113" s="102"/>
      <c r="BB113" s="102"/>
      <c r="BC113" s="102"/>
      <c r="BD113" s="102"/>
      <c r="BE113" s="102"/>
      <c r="BF113" s="102"/>
      <c r="BG113" s="102"/>
      <c r="BH113" s="102"/>
      <c r="BI113" s="102"/>
    </row>
    <row r="114" spans="1:61" s="17" customFormat="1" hidden="1" outlineLevel="1" x14ac:dyDescent="0.25">
      <c r="A114" s="16" t="str">
        <f t="shared" si="115"/>
        <v xml:space="preserve">Debt Servicing </v>
      </c>
      <c r="B114" s="101">
        <f t="shared" si="107"/>
        <v>0</v>
      </c>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f>-PMT(AH9/2,AH10*2,AH8)</f>
        <v>0</v>
      </c>
      <c r="AI114" s="102">
        <f t="shared" ref="AI114:AW114" si="119">+AH114</f>
        <v>0</v>
      </c>
      <c r="AJ114" s="102">
        <f t="shared" si="119"/>
        <v>0</v>
      </c>
      <c r="AK114" s="102">
        <f t="shared" si="119"/>
        <v>0</v>
      </c>
      <c r="AL114" s="102">
        <f t="shared" si="119"/>
        <v>0</v>
      </c>
      <c r="AM114" s="102">
        <f t="shared" si="119"/>
        <v>0</v>
      </c>
      <c r="AN114" s="102">
        <f t="shared" si="119"/>
        <v>0</v>
      </c>
      <c r="AO114" s="102">
        <f t="shared" si="119"/>
        <v>0</v>
      </c>
      <c r="AP114" s="102">
        <f t="shared" si="119"/>
        <v>0</v>
      </c>
      <c r="AQ114" s="102">
        <f t="shared" si="119"/>
        <v>0</v>
      </c>
      <c r="AR114" s="102">
        <f t="shared" si="119"/>
        <v>0</v>
      </c>
      <c r="AS114" s="102">
        <f t="shared" si="119"/>
        <v>0</v>
      </c>
      <c r="AT114" s="102">
        <f t="shared" si="119"/>
        <v>0</v>
      </c>
      <c r="AU114" s="102">
        <f t="shared" si="119"/>
        <v>0</v>
      </c>
      <c r="AV114" s="102">
        <f t="shared" si="119"/>
        <v>0</v>
      </c>
      <c r="AW114" s="102">
        <f t="shared" si="119"/>
        <v>0</v>
      </c>
      <c r="AX114" s="102"/>
      <c r="AY114" s="102"/>
      <c r="AZ114" s="102"/>
      <c r="BA114" s="102"/>
      <c r="BB114" s="102"/>
      <c r="BC114" s="102"/>
      <c r="BD114" s="102"/>
      <c r="BE114" s="102"/>
      <c r="BF114" s="102"/>
      <c r="BG114" s="102"/>
      <c r="BH114" s="102"/>
      <c r="BI114" s="102"/>
    </row>
    <row r="115" spans="1:61" s="17" customFormat="1" hidden="1" outlineLevel="1" x14ac:dyDescent="0.25">
      <c r="A115" s="16" t="str">
        <f t="shared" si="115"/>
        <v xml:space="preserve">Debt Servicing </v>
      </c>
      <c r="B115" s="101">
        <f t="shared" si="107"/>
        <v>0</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f t="shared" ref="AI115:AV115" si="120">+AI114</f>
        <v>0</v>
      </c>
      <c r="AJ115" s="102">
        <f t="shared" si="120"/>
        <v>0</v>
      </c>
      <c r="AK115" s="102">
        <f t="shared" si="120"/>
        <v>0</v>
      </c>
      <c r="AL115" s="102">
        <f t="shared" si="120"/>
        <v>0</v>
      </c>
      <c r="AM115" s="102">
        <f t="shared" si="120"/>
        <v>0</v>
      </c>
      <c r="AN115" s="102">
        <f t="shared" si="120"/>
        <v>0</v>
      </c>
      <c r="AO115" s="102">
        <f t="shared" si="120"/>
        <v>0</v>
      </c>
      <c r="AP115" s="102">
        <f t="shared" si="120"/>
        <v>0</v>
      </c>
      <c r="AQ115" s="102">
        <f t="shared" si="120"/>
        <v>0</v>
      </c>
      <c r="AR115" s="102">
        <f t="shared" si="120"/>
        <v>0</v>
      </c>
      <c r="AS115" s="102">
        <f t="shared" si="120"/>
        <v>0</v>
      </c>
      <c r="AT115" s="102">
        <f t="shared" si="120"/>
        <v>0</v>
      </c>
      <c r="AU115" s="102">
        <f t="shared" si="120"/>
        <v>0</v>
      </c>
      <c r="AV115" s="102">
        <f t="shared" si="120"/>
        <v>0</v>
      </c>
      <c r="AW115" s="102"/>
      <c r="AX115" s="102"/>
      <c r="AY115" s="102"/>
      <c r="AZ115" s="102"/>
      <c r="BA115" s="102"/>
      <c r="BB115" s="102"/>
      <c r="BC115" s="102"/>
      <c r="BD115" s="102"/>
      <c r="BE115" s="102"/>
      <c r="BF115" s="102"/>
      <c r="BG115" s="102"/>
      <c r="BH115" s="102"/>
      <c r="BI115" s="102"/>
    </row>
    <row r="116" spans="1:61" s="17" customFormat="1" hidden="1" outlineLevel="1" x14ac:dyDescent="0.25">
      <c r="A116" s="16" t="str">
        <f t="shared" si="115"/>
        <v>Balance mid year</v>
      </c>
      <c r="B116" s="101">
        <f t="shared" si="107"/>
        <v>0</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f t="shared" ref="AI116:AW116" si="121">+AH117-AI110</f>
        <v>0</v>
      </c>
      <c r="AJ116" s="102">
        <f t="shared" si="121"/>
        <v>0</v>
      </c>
      <c r="AK116" s="102">
        <f t="shared" si="121"/>
        <v>0</v>
      </c>
      <c r="AL116" s="102">
        <f t="shared" si="121"/>
        <v>0</v>
      </c>
      <c r="AM116" s="102">
        <f t="shared" si="121"/>
        <v>0</v>
      </c>
      <c r="AN116" s="102">
        <f t="shared" si="121"/>
        <v>0</v>
      </c>
      <c r="AO116" s="102">
        <f t="shared" si="121"/>
        <v>0</v>
      </c>
      <c r="AP116" s="102">
        <f t="shared" si="121"/>
        <v>0</v>
      </c>
      <c r="AQ116" s="102">
        <f t="shared" si="121"/>
        <v>0</v>
      </c>
      <c r="AR116" s="102">
        <f t="shared" si="121"/>
        <v>0</v>
      </c>
      <c r="AS116" s="102">
        <f t="shared" si="121"/>
        <v>0</v>
      </c>
      <c r="AT116" s="102">
        <f t="shared" si="121"/>
        <v>0</v>
      </c>
      <c r="AU116" s="102">
        <f t="shared" si="121"/>
        <v>0</v>
      </c>
      <c r="AV116" s="102">
        <f t="shared" si="121"/>
        <v>0</v>
      </c>
      <c r="AW116" s="102">
        <f t="shared" si="121"/>
        <v>0</v>
      </c>
      <c r="AX116" s="102"/>
      <c r="AY116" s="102"/>
      <c r="AZ116" s="102"/>
      <c r="BA116" s="102"/>
      <c r="BB116" s="102"/>
      <c r="BC116" s="102"/>
      <c r="BD116" s="102"/>
      <c r="BE116" s="102"/>
      <c r="BF116" s="102"/>
      <c r="BG116" s="102"/>
      <c r="BH116" s="102"/>
      <c r="BI116" s="102"/>
    </row>
    <row r="117" spans="1:61" s="17" customFormat="1" hidden="1" outlineLevel="1" x14ac:dyDescent="0.25">
      <c r="A117" s="16" t="str">
        <f t="shared" si="115"/>
        <v>Balance</v>
      </c>
      <c r="B117" s="101">
        <f t="shared" si="107"/>
        <v>0</v>
      </c>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f>AH109-AH110</f>
        <v>0</v>
      </c>
      <c r="AI117" s="102">
        <f t="shared" ref="AI117:AW117" si="122">+AI116-AI111</f>
        <v>0</v>
      </c>
      <c r="AJ117" s="102">
        <f t="shared" si="122"/>
        <v>0</v>
      </c>
      <c r="AK117" s="102">
        <f t="shared" si="122"/>
        <v>0</v>
      </c>
      <c r="AL117" s="102">
        <f t="shared" si="122"/>
        <v>0</v>
      </c>
      <c r="AM117" s="102">
        <f t="shared" si="122"/>
        <v>0</v>
      </c>
      <c r="AN117" s="102">
        <f t="shared" si="122"/>
        <v>0</v>
      </c>
      <c r="AO117" s="102">
        <f t="shared" si="122"/>
        <v>0</v>
      </c>
      <c r="AP117" s="102">
        <f t="shared" si="122"/>
        <v>0</v>
      </c>
      <c r="AQ117" s="102">
        <f t="shared" si="122"/>
        <v>0</v>
      </c>
      <c r="AR117" s="102">
        <f t="shared" si="122"/>
        <v>0</v>
      </c>
      <c r="AS117" s="102">
        <f t="shared" si="122"/>
        <v>0</v>
      </c>
      <c r="AT117" s="102">
        <f t="shared" si="122"/>
        <v>0</v>
      </c>
      <c r="AU117" s="102">
        <f t="shared" si="122"/>
        <v>0</v>
      </c>
      <c r="AV117" s="102">
        <f t="shared" si="122"/>
        <v>0</v>
      </c>
      <c r="AW117" s="102">
        <f t="shared" si="122"/>
        <v>0</v>
      </c>
      <c r="AX117" s="102"/>
      <c r="AY117" s="102"/>
      <c r="AZ117" s="102"/>
      <c r="BA117" s="102"/>
      <c r="BB117" s="102"/>
      <c r="BC117" s="102"/>
      <c r="BD117" s="102"/>
      <c r="BE117" s="102"/>
      <c r="BF117" s="102"/>
      <c r="BG117" s="102"/>
      <c r="BH117" s="102"/>
      <c r="BI117" s="102"/>
    </row>
    <row r="118" spans="1:61" s="17" customFormat="1" hidden="1" outlineLevel="1" x14ac:dyDescent="0.25">
      <c r="A118" s="16"/>
      <c r="B118" s="101"/>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row>
    <row r="119" spans="1:61" hidden="1" outlineLevel="1" x14ac:dyDescent="0.25">
      <c r="A119" s="20" t="s">
        <v>226</v>
      </c>
      <c r="B119" s="101">
        <f t="shared" ref="B119:B128" si="123">SUM(C119:BB119)</f>
        <v>0</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f>AI8</f>
        <v>0</v>
      </c>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row>
    <row r="120" spans="1:61" s="17" customFormat="1" hidden="1" outlineLevel="1" x14ac:dyDescent="0.25">
      <c r="A120" s="16" t="s">
        <v>163</v>
      </c>
      <c r="B120" s="101">
        <f t="shared" si="123"/>
        <v>0</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f t="shared" ref="AI120:AX121" si="124">+AI124-AI122</f>
        <v>0</v>
      </c>
      <c r="AJ120" s="102">
        <f t="shared" si="124"/>
        <v>0</v>
      </c>
      <c r="AK120" s="102">
        <f t="shared" si="124"/>
        <v>0</v>
      </c>
      <c r="AL120" s="102">
        <f t="shared" si="124"/>
        <v>0</v>
      </c>
      <c r="AM120" s="102">
        <f t="shared" si="124"/>
        <v>0</v>
      </c>
      <c r="AN120" s="102">
        <f t="shared" si="124"/>
        <v>0</v>
      </c>
      <c r="AO120" s="102">
        <f t="shared" si="124"/>
        <v>0</v>
      </c>
      <c r="AP120" s="102">
        <f t="shared" si="124"/>
        <v>0</v>
      </c>
      <c r="AQ120" s="102">
        <f t="shared" si="124"/>
        <v>0</v>
      </c>
      <c r="AR120" s="102">
        <f t="shared" si="124"/>
        <v>0</v>
      </c>
      <c r="AS120" s="102">
        <f t="shared" si="124"/>
        <v>0</v>
      </c>
      <c r="AT120" s="102">
        <f t="shared" si="124"/>
        <v>0</v>
      </c>
      <c r="AU120" s="102">
        <f t="shared" si="124"/>
        <v>0</v>
      </c>
      <c r="AV120" s="102">
        <f t="shared" si="124"/>
        <v>0</v>
      </c>
      <c r="AW120" s="102">
        <f t="shared" si="124"/>
        <v>0</v>
      </c>
      <c r="AX120" s="102">
        <f t="shared" si="124"/>
        <v>0</v>
      </c>
      <c r="AY120" s="102"/>
      <c r="AZ120" s="102"/>
      <c r="BA120" s="102"/>
      <c r="BB120" s="102"/>
      <c r="BC120" s="102"/>
      <c r="BD120" s="102"/>
      <c r="BE120" s="102"/>
      <c r="BF120" s="102"/>
      <c r="BG120" s="102"/>
      <c r="BH120" s="102"/>
      <c r="BI120" s="102"/>
    </row>
    <row r="121" spans="1:61" s="17" customFormat="1" hidden="1" outlineLevel="1" x14ac:dyDescent="0.25">
      <c r="A121" s="16" t="s">
        <v>163</v>
      </c>
      <c r="B121" s="101">
        <f t="shared" si="123"/>
        <v>0</v>
      </c>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f t="shared" si="124"/>
        <v>0</v>
      </c>
      <c r="AK121" s="102">
        <f t="shared" si="124"/>
        <v>0</v>
      </c>
      <c r="AL121" s="102">
        <f t="shared" si="124"/>
        <v>0</v>
      </c>
      <c r="AM121" s="102">
        <f t="shared" si="124"/>
        <v>0</v>
      </c>
      <c r="AN121" s="102">
        <f t="shared" si="124"/>
        <v>0</v>
      </c>
      <c r="AO121" s="102">
        <f t="shared" si="124"/>
        <v>0</v>
      </c>
      <c r="AP121" s="102">
        <f t="shared" si="124"/>
        <v>0</v>
      </c>
      <c r="AQ121" s="102">
        <f t="shared" si="124"/>
        <v>0</v>
      </c>
      <c r="AR121" s="102">
        <f t="shared" si="124"/>
        <v>0</v>
      </c>
      <c r="AS121" s="102">
        <f t="shared" si="124"/>
        <v>0</v>
      </c>
      <c r="AT121" s="102">
        <f t="shared" si="124"/>
        <v>0</v>
      </c>
      <c r="AU121" s="102">
        <f t="shared" si="124"/>
        <v>0</v>
      </c>
      <c r="AV121" s="102">
        <f t="shared" si="124"/>
        <v>0</v>
      </c>
      <c r="AW121" s="102">
        <f t="shared" si="124"/>
        <v>0</v>
      </c>
      <c r="AX121" s="102">
        <f t="shared" si="124"/>
        <v>0</v>
      </c>
      <c r="AY121" s="102"/>
      <c r="AZ121" s="102"/>
      <c r="BA121" s="102"/>
      <c r="BB121" s="102"/>
      <c r="BC121" s="102"/>
      <c r="BD121" s="102"/>
      <c r="BE121" s="102"/>
      <c r="BF121" s="102"/>
      <c r="BG121" s="102"/>
      <c r="BH121" s="102"/>
      <c r="BI121" s="102"/>
    </row>
    <row r="122" spans="1:61" s="17" customFormat="1" hidden="1" outlineLevel="1" x14ac:dyDescent="0.25">
      <c r="A122" s="16" t="s">
        <v>164</v>
      </c>
      <c r="B122" s="101">
        <f t="shared" si="123"/>
        <v>0</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f>+AI119*AI9/2</f>
        <v>0</v>
      </c>
      <c r="AJ122" s="102">
        <f>+AI127*$AI$9/2</f>
        <v>0</v>
      </c>
      <c r="AK122" s="102">
        <f t="shared" ref="AK122:AX122" si="125">+AJ127*$AI$9/2</f>
        <v>0</v>
      </c>
      <c r="AL122" s="102">
        <f t="shared" si="125"/>
        <v>0</v>
      </c>
      <c r="AM122" s="102">
        <f t="shared" si="125"/>
        <v>0</v>
      </c>
      <c r="AN122" s="102">
        <f t="shared" si="125"/>
        <v>0</v>
      </c>
      <c r="AO122" s="102">
        <f t="shared" si="125"/>
        <v>0</v>
      </c>
      <c r="AP122" s="102">
        <f t="shared" si="125"/>
        <v>0</v>
      </c>
      <c r="AQ122" s="102">
        <f t="shared" si="125"/>
        <v>0</v>
      </c>
      <c r="AR122" s="102">
        <f t="shared" si="125"/>
        <v>0</v>
      </c>
      <c r="AS122" s="102">
        <f t="shared" si="125"/>
        <v>0</v>
      </c>
      <c r="AT122" s="102">
        <f t="shared" si="125"/>
        <v>0</v>
      </c>
      <c r="AU122" s="102">
        <f t="shared" si="125"/>
        <v>0</v>
      </c>
      <c r="AV122" s="102">
        <f t="shared" si="125"/>
        <v>0</v>
      </c>
      <c r="AW122" s="102">
        <f t="shared" si="125"/>
        <v>0</v>
      </c>
      <c r="AX122" s="102">
        <f t="shared" si="125"/>
        <v>0</v>
      </c>
      <c r="AY122" s="102"/>
      <c r="AZ122" s="102"/>
      <c r="BA122" s="102"/>
      <c r="BB122" s="102"/>
      <c r="BC122" s="102"/>
      <c r="BD122" s="102"/>
      <c r="BE122" s="102"/>
      <c r="BF122" s="102"/>
      <c r="BG122" s="102"/>
      <c r="BH122" s="102"/>
      <c r="BI122" s="102"/>
    </row>
    <row r="123" spans="1:61" s="17" customFormat="1" hidden="1" outlineLevel="1" x14ac:dyDescent="0.25">
      <c r="A123" s="16" t="s">
        <v>164</v>
      </c>
      <c r="B123" s="101">
        <f t="shared" si="123"/>
        <v>0</v>
      </c>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f>+AJ126*$AI$9/2</f>
        <v>0</v>
      </c>
      <c r="AK123" s="102">
        <f t="shared" ref="AK123:AX123" si="126">+AK126*$AI$9/2</f>
        <v>0</v>
      </c>
      <c r="AL123" s="102">
        <f t="shared" si="126"/>
        <v>0</v>
      </c>
      <c r="AM123" s="102">
        <f t="shared" si="126"/>
        <v>0</v>
      </c>
      <c r="AN123" s="102">
        <f t="shared" si="126"/>
        <v>0</v>
      </c>
      <c r="AO123" s="102">
        <f t="shared" si="126"/>
        <v>0</v>
      </c>
      <c r="AP123" s="102">
        <f t="shared" si="126"/>
        <v>0</v>
      </c>
      <c r="AQ123" s="102">
        <f t="shared" si="126"/>
        <v>0</v>
      </c>
      <c r="AR123" s="102">
        <f t="shared" si="126"/>
        <v>0</v>
      </c>
      <c r="AS123" s="102">
        <f t="shared" si="126"/>
        <v>0</v>
      </c>
      <c r="AT123" s="102">
        <f t="shared" si="126"/>
        <v>0</v>
      </c>
      <c r="AU123" s="102">
        <f t="shared" si="126"/>
        <v>0</v>
      </c>
      <c r="AV123" s="102">
        <f t="shared" si="126"/>
        <v>0</v>
      </c>
      <c r="AW123" s="102">
        <f t="shared" si="126"/>
        <v>0</v>
      </c>
      <c r="AX123" s="102">
        <f t="shared" si="126"/>
        <v>0</v>
      </c>
      <c r="AY123" s="102"/>
      <c r="AZ123" s="102"/>
      <c r="BA123" s="102"/>
      <c r="BB123" s="102"/>
      <c r="BC123" s="102"/>
      <c r="BD123" s="102"/>
      <c r="BE123" s="102"/>
      <c r="BF123" s="102"/>
      <c r="BG123" s="102"/>
      <c r="BH123" s="102"/>
      <c r="BI123" s="102"/>
    </row>
    <row r="124" spans="1:61" s="17" customFormat="1" hidden="1" outlineLevel="1" x14ac:dyDescent="0.25">
      <c r="A124" s="16" t="s">
        <v>220</v>
      </c>
      <c r="B124" s="101">
        <f t="shared" si="123"/>
        <v>0</v>
      </c>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f>-PMT(AI9/2,AI10*2,AI8)</f>
        <v>0</v>
      </c>
      <c r="AJ124" s="102">
        <f t="shared" ref="AJ124:AX124" si="127">+AI124</f>
        <v>0</v>
      </c>
      <c r="AK124" s="102">
        <f t="shared" si="127"/>
        <v>0</v>
      </c>
      <c r="AL124" s="102">
        <f t="shared" si="127"/>
        <v>0</v>
      </c>
      <c r="AM124" s="102">
        <f t="shared" si="127"/>
        <v>0</v>
      </c>
      <c r="AN124" s="102">
        <f t="shared" si="127"/>
        <v>0</v>
      </c>
      <c r="AO124" s="102">
        <f t="shared" si="127"/>
        <v>0</v>
      </c>
      <c r="AP124" s="102">
        <f t="shared" si="127"/>
        <v>0</v>
      </c>
      <c r="AQ124" s="102">
        <f t="shared" si="127"/>
        <v>0</v>
      </c>
      <c r="AR124" s="102">
        <f t="shared" si="127"/>
        <v>0</v>
      </c>
      <c r="AS124" s="102">
        <f t="shared" si="127"/>
        <v>0</v>
      </c>
      <c r="AT124" s="102">
        <f t="shared" si="127"/>
        <v>0</v>
      </c>
      <c r="AU124" s="102">
        <f t="shared" si="127"/>
        <v>0</v>
      </c>
      <c r="AV124" s="102">
        <f t="shared" si="127"/>
        <v>0</v>
      </c>
      <c r="AW124" s="102">
        <f t="shared" si="127"/>
        <v>0</v>
      </c>
      <c r="AX124" s="102">
        <f t="shared" si="127"/>
        <v>0</v>
      </c>
      <c r="AY124" s="102"/>
      <c r="AZ124" s="102"/>
      <c r="BA124" s="102"/>
      <c r="BB124" s="102"/>
      <c r="BC124" s="102"/>
      <c r="BD124" s="102"/>
      <c r="BE124" s="102"/>
      <c r="BF124" s="102"/>
      <c r="BG124" s="102"/>
      <c r="BH124" s="102"/>
      <c r="BI124" s="102"/>
    </row>
    <row r="125" spans="1:61" s="17" customFormat="1" hidden="1" outlineLevel="1" x14ac:dyDescent="0.25">
      <c r="A125" s="16" t="s">
        <v>220</v>
      </c>
      <c r="B125" s="101">
        <f t="shared" si="123"/>
        <v>0</v>
      </c>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f t="shared" ref="AJ125:AW125" si="128">+AJ124</f>
        <v>0</v>
      </c>
      <c r="AK125" s="102">
        <f t="shared" si="128"/>
        <v>0</v>
      </c>
      <c r="AL125" s="102">
        <f t="shared" si="128"/>
        <v>0</v>
      </c>
      <c r="AM125" s="102">
        <f t="shared" si="128"/>
        <v>0</v>
      </c>
      <c r="AN125" s="102">
        <f t="shared" si="128"/>
        <v>0</v>
      </c>
      <c r="AO125" s="102">
        <f t="shared" si="128"/>
        <v>0</v>
      </c>
      <c r="AP125" s="102">
        <f t="shared" si="128"/>
        <v>0</v>
      </c>
      <c r="AQ125" s="102">
        <f t="shared" si="128"/>
        <v>0</v>
      </c>
      <c r="AR125" s="102">
        <f t="shared" si="128"/>
        <v>0</v>
      </c>
      <c r="AS125" s="102">
        <f t="shared" si="128"/>
        <v>0</v>
      </c>
      <c r="AT125" s="102">
        <f t="shared" si="128"/>
        <v>0</v>
      </c>
      <c r="AU125" s="102">
        <f t="shared" si="128"/>
        <v>0</v>
      </c>
      <c r="AV125" s="102">
        <f t="shared" si="128"/>
        <v>0</v>
      </c>
      <c r="AW125" s="102">
        <f t="shared" si="128"/>
        <v>0</v>
      </c>
      <c r="AX125" s="102"/>
      <c r="AY125" s="102"/>
      <c r="AZ125" s="102"/>
      <c r="BA125" s="102"/>
      <c r="BB125" s="102"/>
      <c r="BC125" s="102"/>
      <c r="BD125" s="102"/>
      <c r="BE125" s="102"/>
      <c r="BF125" s="102"/>
      <c r="BG125" s="102"/>
      <c r="BH125" s="102"/>
      <c r="BI125" s="102"/>
    </row>
    <row r="126" spans="1:61" s="17" customFormat="1" hidden="1" outlineLevel="1" x14ac:dyDescent="0.25">
      <c r="A126" s="16" t="s">
        <v>227</v>
      </c>
      <c r="B126" s="101">
        <f t="shared" si="123"/>
        <v>0</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f t="shared" ref="AJ126:AX126" si="129">+AI127-AJ120</f>
        <v>0</v>
      </c>
      <c r="AK126" s="102">
        <f t="shared" si="129"/>
        <v>0</v>
      </c>
      <c r="AL126" s="102">
        <f t="shared" si="129"/>
        <v>0</v>
      </c>
      <c r="AM126" s="102">
        <f t="shared" si="129"/>
        <v>0</v>
      </c>
      <c r="AN126" s="102">
        <f t="shared" si="129"/>
        <v>0</v>
      </c>
      <c r="AO126" s="102">
        <f t="shared" si="129"/>
        <v>0</v>
      </c>
      <c r="AP126" s="102">
        <f t="shared" si="129"/>
        <v>0</v>
      </c>
      <c r="AQ126" s="102">
        <f t="shared" si="129"/>
        <v>0</v>
      </c>
      <c r="AR126" s="102">
        <f t="shared" si="129"/>
        <v>0</v>
      </c>
      <c r="AS126" s="102">
        <f t="shared" si="129"/>
        <v>0</v>
      </c>
      <c r="AT126" s="102">
        <f t="shared" si="129"/>
        <v>0</v>
      </c>
      <c r="AU126" s="102">
        <f t="shared" si="129"/>
        <v>0</v>
      </c>
      <c r="AV126" s="102">
        <f t="shared" si="129"/>
        <v>0</v>
      </c>
      <c r="AW126" s="102">
        <f t="shared" si="129"/>
        <v>0</v>
      </c>
      <c r="AX126" s="102">
        <f t="shared" si="129"/>
        <v>0</v>
      </c>
      <c r="AY126" s="102"/>
      <c r="AZ126" s="102"/>
      <c r="BA126" s="102"/>
      <c r="BB126" s="102"/>
      <c r="BC126" s="102"/>
      <c r="BD126" s="102"/>
      <c r="BE126" s="102"/>
      <c r="BF126" s="102"/>
      <c r="BG126" s="102"/>
      <c r="BH126" s="102"/>
      <c r="BI126" s="102"/>
    </row>
    <row r="127" spans="1:61" s="17" customFormat="1" hidden="1" outlineLevel="1" x14ac:dyDescent="0.25">
      <c r="A127" s="16" t="s">
        <v>16</v>
      </c>
      <c r="B127" s="101">
        <f t="shared" si="123"/>
        <v>0</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f>AI119-AI120</f>
        <v>0</v>
      </c>
      <c r="AJ127" s="102">
        <f t="shared" ref="AJ127:AX127" si="130">+AJ126-AJ121</f>
        <v>0</v>
      </c>
      <c r="AK127" s="102">
        <f t="shared" si="130"/>
        <v>0</v>
      </c>
      <c r="AL127" s="102">
        <f t="shared" si="130"/>
        <v>0</v>
      </c>
      <c r="AM127" s="102">
        <f t="shared" si="130"/>
        <v>0</v>
      </c>
      <c r="AN127" s="102">
        <f t="shared" si="130"/>
        <v>0</v>
      </c>
      <c r="AO127" s="102">
        <f t="shared" si="130"/>
        <v>0</v>
      </c>
      <c r="AP127" s="102">
        <f t="shared" si="130"/>
        <v>0</v>
      </c>
      <c r="AQ127" s="102">
        <f t="shared" si="130"/>
        <v>0</v>
      </c>
      <c r="AR127" s="102">
        <f t="shared" si="130"/>
        <v>0</v>
      </c>
      <c r="AS127" s="102">
        <f t="shared" si="130"/>
        <v>0</v>
      </c>
      <c r="AT127" s="102">
        <f t="shared" si="130"/>
        <v>0</v>
      </c>
      <c r="AU127" s="102">
        <f t="shared" si="130"/>
        <v>0</v>
      </c>
      <c r="AV127" s="102">
        <f t="shared" si="130"/>
        <v>0</v>
      </c>
      <c r="AW127" s="102">
        <f t="shared" si="130"/>
        <v>0</v>
      </c>
      <c r="AX127" s="102">
        <f t="shared" si="130"/>
        <v>0</v>
      </c>
      <c r="AY127" s="102"/>
      <c r="AZ127" s="102"/>
      <c r="BA127" s="102"/>
      <c r="BB127" s="102"/>
      <c r="BC127" s="102"/>
      <c r="BD127" s="102"/>
      <c r="BE127" s="102"/>
      <c r="BF127" s="102"/>
      <c r="BG127" s="102"/>
      <c r="BH127" s="102"/>
      <c r="BI127" s="102"/>
    </row>
    <row r="128" spans="1:61" s="17" customFormat="1" hidden="1" outlineLevel="1" x14ac:dyDescent="0.25">
      <c r="A128" s="16"/>
      <c r="B128" s="101">
        <f t="shared" si="123"/>
        <v>0</v>
      </c>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row>
    <row r="129" spans="1:61" s="17" customFormat="1" collapsed="1" x14ac:dyDescent="0.25">
      <c r="A129" s="16"/>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row>
    <row r="130" spans="1:61" s="104" customFormat="1" x14ac:dyDescent="0.25">
      <c r="A130" s="21" t="s">
        <v>228</v>
      </c>
      <c r="B130" s="101">
        <f t="shared" si="68"/>
        <v>13971.435919350919</v>
      </c>
      <c r="C130" s="103"/>
      <c r="D130" s="103">
        <f t="shared" ref="D130:BD130" si="131">SUMIF($A$29:$A$129,"Debt Forecasted",D29:D129)</f>
        <v>0</v>
      </c>
      <c r="E130" s="103">
        <f t="shared" si="131"/>
        <v>0</v>
      </c>
      <c r="F130" s="103">
        <f t="shared" si="131"/>
        <v>0</v>
      </c>
      <c r="G130" s="103">
        <f t="shared" si="131"/>
        <v>0</v>
      </c>
      <c r="H130" s="103">
        <f t="shared" si="131"/>
        <v>0</v>
      </c>
      <c r="I130" s="103">
        <f t="shared" si="131"/>
        <v>0</v>
      </c>
      <c r="J130" s="103">
        <f t="shared" si="131"/>
        <v>0</v>
      </c>
      <c r="K130" s="103">
        <f t="shared" si="131"/>
        <v>0</v>
      </c>
      <c r="L130" s="103">
        <f t="shared" si="131"/>
        <v>0</v>
      </c>
      <c r="M130" s="103">
        <f t="shared" si="131"/>
        <v>0</v>
      </c>
      <c r="N130" s="103">
        <f t="shared" si="131"/>
        <v>0</v>
      </c>
      <c r="O130" s="103">
        <f t="shared" si="131"/>
        <v>0</v>
      </c>
      <c r="P130" s="103">
        <f t="shared" si="131"/>
        <v>0</v>
      </c>
      <c r="Q130" s="103">
        <f t="shared" si="131"/>
        <v>0</v>
      </c>
      <c r="R130" s="103">
        <f t="shared" si="131"/>
        <v>0</v>
      </c>
      <c r="S130" s="103">
        <f t="shared" si="131"/>
        <v>0</v>
      </c>
      <c r="T130" s="103">
        <f t="shared" si="131"/>
        <v>0</v>
      </c>
      <c r="U130" s="103">
        <f t="shared" si="131"/>
        <v>0</v>
      </c>
      <c r="V130" s="103">
        <f t="shared" si="131"/>
        <v>0</v>
      </c>
      <c r="W130" s="103">
        <f t="shared" si="131"/>
        <v>0</v>
      </c>
      <c r="X130" s="103">
        <f t="shared" si="131"/>
        <v>0</v>
      </c>
      <c r="Y130" s="103">
        <f t="shared" si="131"/>
        <v>0</v>
      </c>
      <c r="Z130" s="103">
        <f t="shared" si="131"/>
        <v>13420.235919350918</v>
      </c>
      <c r="AA130" s="103">
        <f t="shared" si="131"/>
        <v>483.6</v>
      </c>
      <c r="AB130" s="103">
        <f t="shared" si="131"/>
        <v>67.600000000000009</v>
      </c>
      <c r="AC130" s="103">
        <f t="shared" si="131"/>
        <v>0</v>
      </c>
      <c r="AD130" s="103">
        <f t="shared" si="131"/>
        <v>0</v>
      </c>
      <c r="AE130" s="103">
        <f t="shared" si="131"/>
        <v>0</v>
      </c>
      <c r="AF130" s="103">
        <f t="shared" si="131"/>
        <v>0</v>
      </c>
      <c r="AG130" s="103">
        <f t="shared" si="131"/>
        <v>0</v>
      </c>
      <c r="AH130" s="103">
        <f t="shared" si="131"/>
        <v>0</v>
      </c>
      <c r="AI130" s="103">
        <f t="shared" si="131"/>
        <v>0</v>
      </c>
      <c r="AJ130" s="103">
        <f t="shared" si="131"/>
        <v>0</v>
      </c>
      <c r="AK130" s="103">
        <f t="shared" si="131"/>
        <v>0</v>
      </c>
      <c r="AL130" s="103">
        <f t="shared" si="131"/>
        <v>0</v>
      </c>
      <c r="AM130" s="103">
        <f t="shared" si="131"/>
        <v>0</v>
      </c>
      <c r="AN130" s="103">
        <f t="shared" si="131"/>
        <v>0</v>
      </c>
      <c r="AO130" s="103">
        <f t="shared" si="131"/>
        <v>0</v>
      </c>
      <c r="AP130" s="103">
        <f t="shared" si="131"/>
        <v>0</v>
      </c>
      <c r="AQ130" s="103">
        <f t="shared" si="131"/>
        <v>0</v>
      </c>
      <c r="AR130" s="103">
        <f t="shared" si="131"/>
        <v>0</v>
      </c>
      <c r="AS130" s="103">
        <f t="shared" si="131"/>
        <v>0</v>
      </c>
      <c r="AT130" s="103">
        <f t="shared" si="131"/>
        <v>0</v>
      </c>
      <c r="AU130" s="103">
        <f t="shared" si="131"/>
        <v>0</v>
      </c>
      <c r="AV130" s="103">
        <f t="shared" si="131"/>
        <v>0</v>
      </c>
      <c r="AW130" s="103">
        <f t="shared" si="131"/>
        <v>0</v>
      </c>
      <c r="AX130" s="103">
        <f t="shared" si="131"/>
        <v>0</v>
      </c>
      <c r="AY130" s="103">
        <f t="shared" si="131"/>
        <v>0</v>
      </c>
      <c r="AZ130" s="103">
        <f t="shared" si="131"/>
        <v>0</v>
      </c>
      <c r="BA130" s="103">
        <f t="shared" si="131"/>
        <v>0</v>
      </c>
      <c r="BB130" s="103">
        <f t="shared" si="131"/>
        <v>0</v>
      </c>
      <c r="BC130" s="103">
        <f t="shared" si="131"/>
        <v>0</v>
      </c>
      <c r="BD130" s="103">
        <f t="shared" si="131"/>
        <v>0</v>
      </c>
      <c r="BE130" s="103"/>
      <c r="BF130" s="103"/>
      <c r="BG130" s="103"/>
      <c r="BH130" s="103"/>
      <c r="BI130" s="103"/>
    </row>
    <row r="131" spans="1:61" s="17" customFormat="1" x14ac:dyDescent="0.25">
      <c r="A131" s="16" t="s">
        <v>223</v>
      </c>
      <c r="B131" s="101">
        <f t="shared" si="68"/>
        <v>13971.435919350921</v>
      </c>
      <c r="C131" s="102">
        <f t="shared" ref="C131:BD131" si="132">SUMIF($A$29:$A$129,"Principal",C29:C129)</f>
        <v>0</v>
      </c>
      <c r="D131" s="102">
        <f t="shared" si="132"/>
        <v>0</v>
      </c>
      <c r="E131" s="102">
        <f t="shared" si="132"/>
        <v>0</v>
      </c>
      <c r="F131" s="102">
        <f t="shared" si="132"/>
        <v>0</v>
      </c>
      <c r="G131" s="102">
        <f t="shared" si="132"/>
        <v>0</v>
      </c>
      <c r="H131" s="102">
        <f t="shared" si="132"/>
        <v>0</v>
      </c>
      <c r="I131" s="102">
        <f t="shared" si="132"/>
        <v>0</v>
      </c>
      <c r="J131" s="102">
        <f t="shared" si="132"/>
        <v>0</v>
      </c>
      <c r="K131" s="102">
        <f t="shared" si="132"/>
        <v>0</v>
      </c>
      <c r="L131" s="102">
        <f t="shared" si="132"/>
        <v>0</v>
      </c>
      <c r="M131" s="102">
        <f t="shared" si="132"/>
        <v>0</v>
      </c>
      <c r="N131" s="102">
        <f t="shared" si="132"/>
        <v>0</v>
      </c>
      <c r="O131" s="102">
        <f t="shared" si="132"/>
        <v>0</v>
      </c>
      <c r="P131" s="102">
        <f t="shared" si="132"/>
        <v>0</v>
      </c>
      <c r="Q131" s="102">
        <f t="shared" si="132"/>
        <v>0</v>
      </c>
      <c r="R131" s="102">
        <f t="shared" si="132"/>
        <v>0</v>
      </c>
      <c r="S131" s="102">
        <f t="shared" si="132"/>
        <v>0</v>
      </c>
      <c r="T131" s="102">
        <f t="shared" si="132"/>
        <v>0</v>
      </c>
      <c r="U131" s="102">
        <f t="shared" si="132"/>
        <v>0</v>
      </c>
      <c r="V131" s="102">
        <f t="shared" si="132"/>
        <v>0</v>
      </c>
      <c r="W131" s="102">
        <f t="shared" si="132"/>
        <v>0</v>
      </c>
      <c r="X131" s="102">
        <f t="shared" si="132"/>
        <v>0</v>
      </c>
      <c r="Y131" s="102">
        <f t="shared" si="132"/>
        <v>0</v>
      </c>
      <c r="Z131" s="102">
        <f t="shared" si="132"/>
        <v>128.13358182570806</v>
      </c>
      <c r="AA131" s="102">
        <f t="shared" si="132"/>
        <v>277.85061755221739</v>
      </c>
      <c r="AB131" s="102">
        <f t="shared" si="132"/>
        <v>306.01440735566109</v>
      </c>
      <c r="AC131" s="102">
        <f t="shared" si="132"/>
        <v>324.52878712865822</v>
      </c>
      <c r="AD131" s="102">
        <f t="shared" si="132"/>
        <v>342.49834255880364</v>
      </c>
      <c r="AE131" s="102">
        <f t="shared" si="132"/>
        <v>361.46329341799191</v>
      </c>
      <c r="AF131" s="102">
        <f t="shared" si="132"/>
        <v>381.4787988393083</v>
      </c>
      <c r="AG131" s="102">
        <f t="shared" si="132"/>
        <v>402.60307563929706</v>
      </c>
      <c r="AH131" s="102">
        <f t="shared" si="132"/>
        <v>424.89756787322335</v>
      </c>
      <c r="AI131" s="102">
        <f t="shared" si="132"/>
        <v>448.42712579545969</v>
      </c>
      <c r="AJ131" s="102">
        <f t="shared" si="132"/>
        <v>473.260194746845</v>
      </c>
      <c r="AK131" s="102">
        <f t="shared" si="132"/>
        <v>499.46901451982433</v>
      </c>
      <c r="AL131" s="102">
        <f t="shared" si="132"/>
        <v>527.12982978275465</v>
      </c>
      <c r="AM131" s="102">
        <f t="shared" si="132"/>
        <v>556.32311217702215</v>
      </c>
      <c r="AN131" s="102">
        <f t="shared" si="132"/>
        <v>587.13379473467944</v>
      </c>
      <c r="AO131" s="102">
        <f t="shared" si="132"/>
        <v>619.65151930026286</v>
      </c>
      <c r="AP131" s="102">
        <f t="shared" si="132"/>
        <v>630.70672474353012</v>
      </c>
      <c r="AQ131" s="102">
        <f t="shared" si="132"/>
        <v>638.61347227685599</v>
      </c>
      <c r="AR131" s="102">
        <f t="shared" si="132"/>
        <v>670.83807575683318</v>
      </c>
      <c r="AS131" s="102">
        <f t="shared" si="132"/>
        <v>708.20748684435762</v>
      </c>
      <c r="AT131" s="102">
        <f t="shared" si="132"/>
        <v>747.65858192612006</v>
      </c>
      <c r="AU131" s="102">
        <f t="shared" si="132"/>
        <v>789.30732237602911</v>
      </c>
      <c r="AV131" s="102">
        <f t="shared" si="132"/>
        <v>833.27612926133611</v>
      </c>
      <c r="AW131" s="102">
        <f t="shared" si="132"/>
        <v>879.69424318347342</v>
      </c>
      <c r="AX131" s="102">
        <f t="shared" si="132"/>
        <v>928.69810416403004</v>
      </c>
      <c r="AY131" s="102">
        <f t="shared" si="132"/>
        <v>483.57271557063922</v>
      </c>
      <c r="AZ131" s="102">
        <f t="shared" si="132"/>
        <v>0</v>
      </c>
      <c r="BA131" s="102">
        <f t="shared" si="132"/>
        <v>0</v>
      </c>
      <c r="BB131" s="102">
        <f t="shared" si="132"/>
        <v>0</v>
      </c>
      <c r="BC131" s="102">
        <f t="shared" si="132"/>
        <v>0</v>
      </c>
      <c r="BD131" s="102">
        <f t="shared" si="132"/>
        <v>0</v>
      </c>
      <c r="BE131" s="102"/>
      <c r="BF131" s="102"/>
      <c r="BG131" s="102"/>
      <c r="BH131" s="102"/>
      <c r="BI131" s="102"/>
    </row>
    <row r="132" spans="1:61" s="17" customFormat="1" x14ac:dyDescent="0.25">
      <c r="A132" s="16" t="s">
        <v>224</v>
      </c>
      <c r="B132" s="101">
        <f t="shared" si="68"/>
        <v>11667.063459210625</v>
      </c>
      <c r="C132" s="102">
        <f t="shared" ref="C132:BD132" si="133">SUMIF($A$29:$A$129,"Interest",C29:C129)</f>
        <v>0</v>
      </c>
      <c r="D132" s="102">
        <f t="shared" si="133"/>
        <v>0</v>
      </c>
      <c r="E132" s="102">
        <f t="shared" si="133"/>
        <v>0</v>
      </c>
      <c r="F132" s="102">
        <f t="shared" si="133"/>
        <v>0</v>
      </c>
      <c r="G132" s="102">
        <f t="shared" si="133"/>
        <v>0</v>
      </c>
      <c r="H132" s="102">
        <f t="shared" si="133"/>
        <v>0</v>
      </c>
      <c r="I132" s="102">
        <f t="shared" si="133"/>
        <v>0</v>
      </c>
      <c r="J132" s="102">
        <f t="shared" si="133"/>
        <v>0</v>
      </c>
      <c r="K132" s="102">
        <f t="shared" si="133"/>
        <v>0</v>
      </c>
      <c r="L132" s="102">
        <f t="shared" si="133"/>
        <v>0</v>
      </c>
      <c r="M132" s="102">
        <f t="shared" si="133"/>
        <v>0</v>
      </c>
      <c r="N132" s="102">
        <f t="shared" si="133"/>
        <v>0</v>
      </c>
      <c r="O132" s="102">
        <f t="shared" si="133"/>
        <v>0</v>
      </c>
      <c r="P132" s="102">
        <f t="shared" si="133"/>
        <v>0</v>
      </c>
      <c r="Q132" s="102">
        <f t="shared" si="133"/>
        <v>0</v>
      </c>
      <c r="R132" s="102">
        <f t="shared" si="133"/>
        <v>0</v>
      </c>
      <c r="S132" s="102">
        <f t="shared" si="133"/>
        <v>0</v>
      </c>
      <c r="T132" s="102">
        <f t="shared" si="133"/>
        <v>0</v>
      </c>
      <c r="U132" s="102">
        <f t="shared" si="133"/>
        <v>0</v>
      </c>
      <c r="V132" s="102">
        <f t="shared" si="133"/>
        <v>0</v>
      </c>
      <c r="W132" s="102">
        <f t="shared" si="133"/>
        <v>0</v>
      </c>
      <c r="X132" s="102">
        <f t="shared" si="133"/>
        <v>0</v>
      </c>
      <c r="Y132" s="102">
        <f t="shared" si="133"/>
        <v>0</v>
      </c>
      <c r="Z132" s="102">
        <f t="shared" si="133"/>
        <v>368.72545529613956</v>
      </c>
      <c r="AA132" s="102">
        <f t="shared" si="133"/>
        <v>739.13162962634044</v>
      </c>
      <c r="AB132" s="102">
        <f t="shared" si="133"/>
        <v>737.48609057186877</v>
      </c>
      <c r="AC132" s="102">
        <f t="shared" si="133"/>
        <v>722.22578861298121</v>
      </c>
      <c r="AD132" s="102">
        <f t="shared" si="133"/>
        <v>704.25623318283601</v>
      </c>
      <c r="AE132" s="102">
        <f t="shared" si="133"/>
        <v>685.29128232364747</v>
      </c>
      <c r="AF132" s="102">
        <f t="shared" si="133"/>
        <v>665.27577690233124</v>
      </c>
      <c r="AG132" s="102">
        <f t="shared" si="133"/>
        <v>644.15150010234231</v>
      </c>
      <c r="AH132" s="102">
        <f t="shared" si="133"/>
        <v>621.85700786841608</v>
      </c>
      <c r="AI132" s="102">
        <f t="shared" si="133"/>
        <v>598.32744994617974</v>
      </c>
      <c r="AJ132" s="102">
        <f t="shared" si="133"/>
        <v>573.49438099479448</v>
      </c>
      <c r="AK132" s="102">
        <f t="shared" si="133"/>
        <v>547.2855612218151</v>
      </c>
      <c r="AL132" s="102">
        <f t="shared" si="133"/>
        <v>519.62474595888477</v>
      </c>
      <c r="AM132" s="102">
        <f t="shared" si="133"/>
        <v>490.43146356461727</v>
      </c>
      <c r="AN132" s="102">
        <f t="shared" si="133"/>
        <v>459.62078100696021</v>
      </c>
      <c r="AO132" s="102">
        <f t="shared" si="133"/>
        <v>427.10305644137662</v>
      </c>
      <c r="AP132" s="102">
        <f t="shared" si="133"/>
        <v>392.78367806324667</v>
      </c>
      <c r="AQ132" s="102">
        <f t="shared" si="133"/>
        <v>358.35867978094882</v>
      </c>
      <c r="AR132" s="102">
        <f t="shared" si="133"/>
        <v>322.87999848686212</v>
      </c>
      <c r="AS132" s="102">
        <f t="shared" si="133"/>
        <v>285.51058739933762</v>
      </c>
      <c r="AT132" s="102">
        <f t="shared" si="133"/>
        <v>246.05949231757518</v>
      </c>
      <c r="AU132" s="102">
        <f t="shared" si="133"/>
        <v>204.41075186766608</v>
      </c>
      <c r="AV132" s="102">
        <f t="shared" si="133"/>
        <v>160.44194498235919</v>
      </c>
      <c r="AW132" s="102">
        <f t="shared" si="133"/>
        <v>114.02383106022185</v>
      </c>
      <c r="AX132" s="102">
        <f t="shared" si="133"/>
        <v>65.0199700796652</v>
      </c>
      <c r="AY132" s="102">
        <f t="shared" si="133"/>
        <v>13.28632155120839</v>
      </c>
      <c r="AZ132" s="102">
        <f t="shared" si="133"/>
        <v>0</v>
      </c>
      <c r="BA132" s="102">
        <f t="shared" si="133"/>
        <v>0</v>
      </c>
      <c r="BB132" s="102">
        <f t="shared" si="133"/>
        <v>0</v>
      </c>
      <c r="BC132" s="102">
        <f t="shared" si="133"/>
        <v>0</v>
      </c>
      <c r="BD132" s="102">
        <f t="shared" si="133"/>
        <v>0</v>
      </c>
      <c r="BE132" s="102"/>
      <c r="BF132" s="102"/>
      <c r="BG132" s="102"/>
      <c r="BH132" s="102"/>
      <c r="BI132" s="102"/>
    </row>
    <row r="133" spans="1:61" s="17" customFormat="1" x14ac:dyDescent="0.25">
      <c r="A133" s="16" t="s">
        <v>225</v>
      </c>
      <c r="B133" s="101">
        <f t="shared" si="68"/>
        <v>25638.499378561533</v>
      </c>
      <c r="C133" s="102">
        <f>+C131+C132</f>
        <v>0</v>
      </c>
      <c r="D133" s="102">
        <f t="shared" ref="D133:AZ133" si="134">+D131+D132</f>
        <v>0</v>
      </c>
      <c r="E133" s="102">
        <f t="shared" si="134"/>
        <v>0</v>
      </c>
      <c r="F133" s="102">
        <f t="shared" si="134"/>
        <v>0</v>
      </c>
      <c r="G133" s="102">
        <f t="shared" si="134"/>
        <v>0</v>
      </c>
      <c r="H133" s="102">
        <f t="shared" si="134"/>
        <v>0</v>
      </c>
      <c r="I133" s="102">
        <f t="shared" si="134"/>
        <v>0</v>
      </c>
      <c r="J133" s="102">
        <f t="shared" si="134"/>
        <v>0</v>
      </c>
      <c r="K133" s="102">
        <f t="shared" si="134"/>
        <v>0</v>
      </c>
      <c r="L133" s="102">
        <f t="shared" si="134"/>
        <v>0</v>
      </c>
      <c r="M133" s="102">
        <f t="shared" si="134"/>
        <v>0</v>
      </c>
      <c r="N133" s="102">
        <f t="shared" si="134"/>
        <v>0</v>
      </c>
      <c r="O133" s="102">
        <f t="shared" si="134"/>
        <v>0</v>
      </c>
      <c r="P133" s="102">
        <f t="shared" si="134"/>
        <v>0</v>
      </c>
      <c r="Q133" s="102">
        <f t="shared" si="134"/>
        <v>0</v>
      </c>
      <c r="R133" s="102">
        <f t="shared" si="134"/>
        <v>0</v>
      </c>
      <c r="S133" s="102">
        <f t="shared" si="134"/>
        <v>0</v>
      </c>
      <c r="T133" s="102">
        <f t="shared" si="134"/>
        <v>0</v>
      </c>
      <c r="U133" s="102">
        <f t="shared" si="134"/>
        <v>0</v>
      </c>
      <c r="V133" s="102">
        <f t="shared" si="134"/>
        <v>0</v>
      </c>
      <c r="W133" s="102">
        <f t="shared" si="134"/>
        <v>0</v>
      </c>
      <c r="X133" s="102">
        <f t="shared" si="134"/>
        <v>0</v>
      </c>
      <c r="Y133" s="102">
        <f t="shared" si="134"/>
        <v>0</v>
      </c>
      <c r="Z133" s="102">
        <f t="shared" si="134"/>
        <v>496.85903712184762</v>
      </c>
      <c r="AA133" s="102">
        <f t="shared" si="134"/>
        <v>1016.9822471785578</v>
      </c>
      <c r="AB133" s="102">
        <f t="shared" si="134"/>
        <v>1043.50049792753</v>
      </c>
      <c r="AC133" s="102">
        <f t="shared" si="134"/>
        <v>1046.7545757416394</v>
      </c>
      <c r="AD133" s="102">
        <f t="shared" si="134"/>
        <v>1046.7545757416397</v>
      </c>
      <c r="AE133" s="102">
        <f t="shared" si="134"/>
        <v>1046.7545757416394</v>
      </c>
      <c r="AF133" s="102">
        <f t="shared" si="134"/>
        <v>1046.7545757416397</v>
      </c>
      <c r="AG133" s="102">
        <f t="shared" si="134"/>
        <v>1046.7545757416394</v>
      </c>
      <c r="AH133" s="102">
        <f t="shared" si="134"/>
        <v>1046.7545757416394</v>
      </c>
      <c r="AI133" s="102">
        <f t="shared" si="134"/>
        <v>1046.7545757416394</v>
      </c>
      <c r="AJ133" s="102">
        <f t="shared" si="134"/>
        <v>1046.7545757416394</v>
      </c>
      <c r="AK133" s="102">
        <f t="shared" si="134"/>
        <v>1046.7545757416394</v>
      </c>
      <c r="AL133" s="102">
        <f t="shared" si="134"/>
        <v>1046.7545757416394</v>
      </c>
      <c r="AM133" s="102">
        <f t="shared" si="134"/>
        <v>1046.7545757416394</v>
      </c>
      <c r="AN133" s="102">
        <f t="shared" si="134"/>
        <v>1046.7545757416397</v>
      </c>
      <c r="AO133" s="102">
        <f t="shared" si="134"/>
        <v>1046.7545757416394</v>
      </c>
      <c r="AP133" s="102">
        <f t="shared" si="134"/>
        <v>1023.4904028067767</v>
      </c>
      <c r="AQ133" s="102">
        <f t="shared" si="134"/>
        <v>996.97215205780481</v>
      </c>
      <c r="AR133" s="102">
        <f t="shared" si="134"/>
        <v>993.71807424369536</v>
      </c>
      <c r="AS133" s="102">
        <f t="shared" si="134"/>
        <v>993.71807424369524</v>
      </c>
      <c r="AT133" s="102">
        <f t="shared" si="134"/>
        <v>993.71807424369524</v>
      </c>
      <c r="AU133" s="102">
        <f t="shared" si="134"/>
        <v>993.71807424369513</v>
      </c>
      <c r="AV133" s="102">
        <f t="shared" si="134"/>
        <v>993.71807424369536</v>
      </c>
      <c r="AW133" s="102">
        <f t="shared" si="134"/>
        <v>993.71807424369524</v>
      </c>
      <c r="AX133" s="102">
        <f t="shared" si="134"/>
        <v>993.71807424369524</v>
      </c>
      <c r="AY133" s="102">
        <f t="shared" si="134"/>
        <v>496.85903712184762</v>
      </c>
      <c r="AZ133" s="102">
        <f t="shared" si="134"/>
        <v>0</v>
      </c>
      <c r="BA133" s="102">
        <f>+BA131+BA132</f>
        <v>0</v>
      </c>
      <c r="BB133" s="102">
        <f>+BB131+BB132</f>
        <v>0</v>
      </c>
      <c r="BC133" s="102">
        <f>+BC131+BC132</f>
        <v>0</v>
      </c>
      <c r="BD133" s="102">
        <f>+BD131+BD132</f>
        <v>0</v>
      </c>
      <c r="BE133" s="102"/>
      <c r="BF133" s="102"/>
      <c r="BG133" s="102"/>
      <c r="BH133" s="102"/>
      <c r="BI133" s="102"/>
    </row>
    <row r="134" spans="1:61" s="17" customFormat="1" x14ac:dyDescent="0.25">
      <c r="A134" s="16" t="s">
        <v>16</v>
      </c>
      <c r="B134" s="101"/>
      <c r="C134" s="102">
        <f t="shared" ref="C134:BD134" si="135">SUMIF($A$29:$A$129,"Balance",C29:C129)</f>
        <v>0</v>
      </c>
      <c r="D134" s="102">
        <f t="shared" si="135"/>
        <v>0</v>
      </c>
      <c r="E134" s="102">
        <f t="shared" si="135"/>
        <v>0</v>
      </c>
      <c r="F134" s="102">
        <f t="shared" si="135"/>
        <v>0</v>
      </c>
      <c r="G134" s="102">
        <f t="shared" si="135"/>
        <v>0</v>
      </c>
      <c r="H134" s="102">
        <f t="shared" si="135"/>
        <v>0</v>
      </c>
      <c r="I134" s="102">
        <f t="shared" si="135"/>
        <v>0</v>
      </c>
      <c r="J134" s="102">
        <f t="shared" si="135"/>
        <v>0</v>
      </c>
      <c r="K134" s="102">
        <f t="shared" si="135"/>
        <v>0</v>
      </c>
      <c r="L134" s="102">
        <f t="shared" si="135"/>
        <v>0</v>
      </c>
      <c r="M134" s="102">
        <f t="shared" si="135"/>
        <v>0</v>
      </c>
      <c r="N134" s="102">
        <f t="shared" si="135"/>
        <v>0</v>
      </c>
      <c r="O134" s="102">
        <f t="shared" si="135"/>
        <v>0</v>
      </c>
      <c r="P134" s="102">
        <f t="shared" si="135"/>
        <v>0</v>
      </c>
      <c r="Q134" s="102">
        <f t="shared" si="135"/>
        <v>0</v>
      </c>
      <c r="R134" s="102">
        <f t="shared" si="135"/>
        <v>0</v>
      </c>
      <c r="S134" s="102">
        <f t="shared" si="135"/>
        <v>0</v>
      </c>
      <c r="T134" s="102">
        <f t="shared" si="135"/>
        <v>0</v>
      </c>
      <c r="U134" s="102">
        <f t="shared" si="135"/>
        <v>0</v>
      </c>
      <c r="V134" s="102">
        <f t="shared" si="135"/>
        <v>0</v>
      </c>
      <c r="W134" s="102">
        <f t="shared" si="135"/>
        <v>0</v>
      </c>
      <c r="X134" s="102">
        <f t="shared" si="135"/>
        <v>0</v>
      </c>
      <c r="Y134" s="102">
        <f t="shared" si="135"/>
        <v>0</v>
      </c>
      <c r="Z134" s="102">
        <f t="shared" si="135"/>
        <v>13292.10233752521</v>
      </c>
      <c r="AA134" s="102">
        <f t="shared" si="135"/>
        <v>13497.851719972992</v>
      </c>
      <c r="AB134" s="102">
        <f t="shared" si="135"/>
        <v>13259.437312617332</v>
      </c>
      <c r="AC134" s="102">
        <f t="shared" si="135"/>
        <v>12934.908525488672</v>
      </c>
      <c r="AD134" s="102">
        <f t="shared" si="135"/>
        <v>12592.410182929869</v>
      </c>
      <c r="AE134" s="102">
        <f t="shared" si="135"/>
        <v>12230.946889511877</v>
      </c>
      <c r="AF134" s="102">
        <f t="shared" si="135"/>
        <v>11849.468090672568</v>
      </c>
      <c r="AG134" s="102">
        <f t="shared" si="135"/>
        <v>11446.865015033271</v>
      </c>
      <c r="AH134" s="102">
        <f t="shared" si="135"/>
        <v>11021.967447160048</v>
      </c>
      <c r="AI134" s="102">
        <f t="shared" si="135"/>
        <v>10573.54032136459</v>
      </c>
      <c r="AJ134" s="102">
        <f t="shared" si="135"/>
        <v>10100.280126617745</v>
      </c>
      <c r="AK134" s="102">
        <f t="shared" si="135"/>
        <v>9600.8111120979211</v>
      </c>
      <c r="AL134" s="102">
        <f t="shared" si="135"/>
        <v>9073.6812823151649</v>
      </c>
      <c r="AM134" s="102">
        <f t="shared" si="135"/>
        <v>8517.3581701381445</v>
      </c>
      <c r="AN134" s="102">
        <f t="shared" si="135"/>
        <v>7930.2243754034644</v>
      </c>
      <c r="AO134" s="102">
        <f t="shared" si="135"/>
        <v>7310.572856103202</v>
      </c>
      <c r="AP134" s="102">
        <f t="shared" si="135"/>
        <v>6679.8661313596713</v>
      </c>
      <c r="AQ134" s="102">
        <f t="shared" si="135"/>
        <v>6041.2526590828156</v>
      </c>
      <c r="AR134" s="102">
        <f t="shared" si="135"/>
        <v>5370.4145833259827</v>
      </c>
      <c r="AS134" s="102">
        <f t="shared" si="135"/>
        <v>4662.2070964816257</v>
      </c>
      <c r="AT134" s="102">
        <f t="shared" si="135"/>
        <v>3914.5485145555058</v>
      </c>
      <c r="AU134" s="102">
        <f t="shared" si="135"/>
        <v>3125.2411921794765</v>
      </c>
      <c r="AV134" s="102">
        <f t="shared" si="135"/>
        <v>2291.9650629181406</v>
      </c>
      <c r="AW134" s="102">
        <f t="shared" si="135"/>
        <v>1412.2708197346672</v>
      </c>
      <c r="AX134" s="102">
        <f t="shared" si="135"/>
        <v>483.57271557063717</v>
      </c>
      <c r="AY134" s="102">
        <f t="shared" si="135"/>
        <v>-2.0441823759635249E-12</v>
      </c>
      <c r="AZ134" s="102">
        <f t="shared" si="135"/>
        <v>0</v>
      </c>
      <c r="BA134" s="102">
        <f t="shared" si="135"/>
        <v>0</v>
      </c>
      <c r="BB134" s="102">
        <f t="shared" si="135"/>
        <v>0</v>
      </c>
      <c r="BC134" s="102">
        <f t="shared" si="135"/>
        <v>0</v>
      </c>
      <c r="BD134" s="102">
        <f t="shared" si="135"/>
        <v>0</v>
      </c>
      <c r="BE134" s="102"/>
      <c r="BF134" s="102"/>
      <c r="BG134" s="102"/>
      <c r="BH134" s="102"/>
      <c r="BI134" s="102"/>
    </row>
    <row r="135" spans="1:61" x14ac:dyDescent="0.25">
      <c r="A135" s="21"/>
      <c r="B135" s="101"/>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row>
    <row r="136" spans="1:61" x14ac:dyDescent="0.25">
      <c r="A136" s="20" t="s">
        <v>229</v>
      </c>
      <c r="B136" s="101"/>
      <c r="C136" s="102"/>
      <c r="D136" s="102"/>
      <c r="E136" s="102"/>
      <c r="F136" s="102"/>
      <c r="G136" s="102"/>
      <c r="H136" s="102"/>
      <c r="I136" s="102"/>
      <c r="J136" s="102"/>
      <c r="K136" s="102"/>
      <c r="L136" s="102"/>
      <c r="M136" s="102"/>
      <c r="N136" s="102"/>
      <c r="O136" s="102"/>
      <c r="P136" s="102"/>
      <c r="Q136" s="102"/>
      <c r="R136" s="102"/>
      <c r="S136" s="102">
        <f t="shared" ref="S136:AC136" si="136">S23+S130</f>
        <v>0</v>
      </c>
      <c r="T136" s="102">
        <f t="shared" si="136"/>
        <v>0</v>
      </c>
      <c r="U136" s="102">
        <f t="shared" si="136"/>
        <v>0</v>
      </c>
      <c r="V136" s="102">
        <f t="shared" si="136"/>
        <v>0</v>
      </c>
      <c r="W136" s="102">
        <f t="shared" si="136"/>
        <v>0</v>
      </c>
      <c r="X136" s="102">
        <f t="shared" si="136"/>
        <v>0</v>
      </c>
      <c r="Y136" s="102">
        <f t="shared" si="136"/>
        <v>1064</v>
      </c>
      <c r="Z136" s="102">
        <f t="shared" si="136"/>
        <v>19140.600149350917</v>
      </c>
      <c r="AA136" s="102">
        <f t="shared" si="136"/>
        <v>483.6</v>
      </c>
      <c r="AB136" s="102">
        <f t="shared" si="136"/>
        <v>67.600000000000009</v>
      </c>
      <c r="AC136" s="102">
        <f t="shared" si="136"/>
        <v>0</v>
      </c>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row>
    <row r="137" spans="1:61" x14ac:dyDescent="0.25">
      <c r="A137" s="16" t="s">
        <v>223</v>
      </c>
      <c r="B137" s="101">
        <f>SUM(C137:BB137)</f>
        <v>33922.868022696603</v>
      </c>
      <c r="C137" s="102">
        <f t="shared" ref="C137:BD139" si="137">SUM(C24,C131)</f>
        <v>0</v>
      </c>
      <c r="D137" s="102">
        <f t="shared" si="137"/>
        <v>0</v>
      </c>
      <c r="E137" s="102">
        <f t="shared" si="137"/>
        <v>0</v>
      </c>
      <c r="F137" s="102">
        <f t="shared" si="137"/>
        <v>0</v>
      </c>
      <c r="G137" s="102">
        <f t="shared" si="137"/>
        <v>0</v>
      </c>
      <c r="H137" s="102">
        <f t="shared" si="137"/>
        <v>0</v>
      </c>
      <c r="I137" s="102">
        <f t="shared" si="137"/>
        <v>0</v>
      </c>
      <c r="J137" s="102">
        <f t="shared" si="137"/>
        <v>0</v>
      </c>
      <c r="K137" s="102">
        <f t="shared" si="137"/>
        <v>0</v>
      </c>
      <c r="L137" s="102">
        <f t="shared" si="137"/>
        <v>0</v>
      </c>
      <c r="M137" s="102">
        <f t="shared" si="137"/>
        <v>0</v>
      </c>
      <c r="N137" s="102">
        <f t="shared" si="137"/>
        <v>0</v>
      </c>
      <c r="O137" s="102">
        <f t="shared" si="137"/>
        <v>173.63744781787</v>
      </c>
      <c r="P137" s="102">
        <f t="shared" si="137"/>
        <v>266.65167351589298</v>
      </c>
      <c r="Q137" s="102">
        <f t="shared" si="137"/>
        <v>277.11959497842099</v>
      </c>
      <c r="R137" s="102">
        <f t="shared" si="137"/>
        <v>379.95626060349457</v>
      </c>
      <c r="S137" s="102">
        <f t="shared" si="137"/>
        <v>388.88709986999999</v>
      </c>
      <c r="T137" s="102">
        <f t="shared" si="137"/>
        <v>401.11023193</v>
      </c>
      <c r="U137" s="102">
        <f t="shared" si="137"/>
        <v>413.71756348999997</v>
      </c>
      <c r="V137" s="102">
        <f t="shared" si="137"/>
        <v>426.72116345500001</v>
      </c>
      <c r="W137" s="102">
        <f t="shared" si="137"/>
        <v>440.13349379500005</v>
      </c>
      <c r="X137" s="102">
        <f t="shared" si="137"/>
        <v>453.96738343499999</v>
      </c>
      <c r="Y137" s="102">
        <f t="shared" si="137"/>
        <v>473.54678380053628</v>
      </c>
      <c r="Z137" s="102">
        <f t="shared" si="137"/>
        <v>691.81086561986945</v>
      </c>
      <c r="AA137" s="102">
        <f t="shared" si="137"/>
        <v>918.76381598120395</v>
      </c>
      <c r="AB137" s="102">
        <f t="shared" si="137"/>
        <v>969.96767720874868</v>
      </c>
      <c r="AC137" s="102">
        <f t="shared" si="137"/>
        <v>1012.398650865588</v>
      </c>
      <c r="AD137" s="102">
        <f t="shared" si="137"/>
        <v>1055.1968837681229</v>
      </c>
      <c r="AE137" s="102">
        <f t="shared" si="137"/>
        <v>1099.9397323182261</v>
      </c>
      <c r="AF137" s="102">
        <f t="shared" si="137"/>
        <v>1146.7210723385724</v>
      </c>
      <c r="AG137" s="102">
        <f t="shared" si="137"/>
        <v>1195.6395759317656</v>
      </c>
      <c r="AH137" s="102">
        <f t="shared" si="137"/>
        <v>1246.7988873231391</v>
      </c>
      <c r="AI137" s="102">
        <f t="shared" si="137"/>
        <v>1300.3078869483788</v>
      </c>
      <c r="AJ137" s="102">
        <f t="shared" si="137"/>
        <v>1356.2809992932814</v>
      </c>
      <c r="AK137" s="102">
        <f t="shared" si="137"/>
        <v>1414.8384827533023</v>
      </c>
      <c r="AL137" s="102">
        <f t="shared" si="137"/>
        <v>1476.1066693548466</v>
      </c>
      <c r="AM137" s="102">
        <f t="shared" si="137"/>
        <v>1540.2184055131147</v>
      </c>
      <c r="AN137" s="102">
        <f t="shared" si="137"/>
        <v>1607.3134054407849</v>
      </c>
      <c r="AO137" s="102">
        <f t="shared" si="137"/>
        <v>909.27509990728504</v>
      </c>
      <c r="AP137" s="102">
        <f t="shared" si="137"/>
        <v>935.37212577772448</v>
      </c>
      <c r="AQ137" s="102">
        <f t="shared" si="137"/>
        <v>959.10641408954245</v>
      </c>
      <c r="AR137" s="102">
        <f t="shared" si="137"/>
        <v>1007.9855280775996</v>
      </c>
      <c r="AS137" s="102">
        <f t="shared" si="137"/>
        <v>1062.8797917209699</v>
      </c>
      <c r="AT137" s="102">
        <f t="shared" si="137"/>
        <v>1120.771788544459</v>
      </c>
      <c r="AU137" s="102">
        <f t="shared" si="137"/>
        <v>1181.8255390290938</v>
      </c>
      <c r="AV137" s="102">
        <f t="shared" si="137"/>
        <v>1246.2141051055621</v>
      </c>
      <c r="AW137" s="102">
        <f t="shared" si="137"/>
        <v>1314.1200043567724</v>
      </c>
      <c r="AX137" s="102">
        <f t="shared" si="137"/>
        <v>1372.2586881557077</v>
      </c>
      <c r="AY137" s="102">
        <f t="shared" si="137"/>
        <v>685.30723058172475</v>
      </c>
      <c r="AZ137" s="102">
        <f t="shared" si="137"/>
        <v>0</v>
      </c>
      <c r="BA137" s="102">
        <f t="shared" si="137"/>
        <v>0</v>
      </c>
      <c r="BB137" s="102">
        <f t="shared" si="137"/>
        <v>0</v>
      </c>
      <c r="BC137" s="102">
        <f t="shared" si="137"/>
        <v>0</v>
      </c>
      <c r="BD137" s="102">
        <f t="shared" si="137"/>
        <v>0</v>
      </c>
      <c r="BE137" s="102"/>
      <c r="BF137" s="102"/>
      <c r="BG137" s="102"/>
      <c r="BH137" s="102"/>
      <c r="BI137" s="102"/>
    </row>
    <row r="138" spans="1:61" x14ac:dyDescent="0.25">
      <c r="A138" s="16" t="s">
        <v>224</v>
      </c>
      <c r="B138" s="101">
        <f>SUM(C138:BB138)</f>
        <v>23014.452109560141</v>
      </c>
      <c r="C138" s="102">
        <f t="shared" si="137"/>
        <v>0</v>
      </c>
      <c r="D138" s="102">
        <f t="shared" si="137"/>
        <v>0</v>
      </c>
      <c r="E138" s="102">
        <f t="shared" si="137"/>
        <v>0</v>
      </c>
      <c r="F138" s="102">
        <f t="shared" si="137"/>
        <v>0</v>
      </c>
      <c r="G138" s="102">
        <f t="shared" si="137"/>
        <v>0</v>
      </c>
      <c r="H138" s="102">
        <f t="shared" si="137"/>
        <v>0</v>
      </c>
      <c r="I138" s="102">
        <f t="shared" si="137"/>
        <v>0</v>
      </c>
      <c r="J138" s="102">
        <f t="shared" si="137"/>
        <v>0</v>
      </c>
      <c r="K138" s="102">
        <f t="shared" si="137"/>
        <v>0</v>
      </c>
      <c r="L138" s="102">
        <f t="shared" si="137"/>
        <v>0</v>
      </c>
      <c r="M138" s="102">
        <f t="shared" si="137"/>
        <v>0</v>
      </c>
      <c r="N138" s="102">
        <f t="shared" si="137"/>
        <v>0</v>
      </c>
      <c r="O138" s="102">
        <f t="shared" si="137"/>
        <v>210.01969106249999</v>
      </c>
      <c r="P138" s="102">
        <f t="shared" si="137"/>
        <v>411.66260424484642</v>
      </c>
      <c r="Q138" s="102">
        <f t="shared" si="137"/>
        <v>400.19468278231784</v>
      </c>
      <c r="R138" s="102">
        <f t="shared" si="137"/>
        <v>388.35801715724472</v>
      </c>
      <c r="S138" s="102">
        <f t="shared" si="137"/>
        <v>370.18190367</v>
      </c>
      <c r="T138" s="102">
        <f t="shared" si="137"/>
        <v>357.85650346999995</v>
      </c>
      <c r="U138" s="102">
        <f t="shared" si="137"/>
        <v>345.14368292500001</v>
      </c>
      <c r="V138" s="102">
        <f t="shared" si="137"/>
        <v>332.03127312999999</v>
      </c>
      <c r="W138" s="102">
        <f t="shared" si="137"/>
        <v>318.50671211500003</v>
      </c>
      <c r="X138" s="102">
        <f t="shared" si="137"/>
        <v>304.55705900999999</v>
      </c>
      <c r="Y138" s="102">
        <f t="shared" si="137"/>
        <v>304.45117406800006</v>
      </c>
      <c r="Z138" s="102">
        <f t="shared" si="137"/>
        <v>894.1972679454808</v>
      </c>
      <c r="AA138" s="102">
        <f t="shared" si="137"/>
        <v>1339.965927227365</v>
      </c>
      <c r="AB138" s="102">
        <f t="shared" si="137"/>
        <v>1315.0839959913687</v>
      </c>
      <c r="AC138" s="102">
        <f t="shared" si="137"/>
        <v>1275.7032340319538</v>
      </c>
      <c r="AD138" s="102">
        <f t="shared" si="137"/>
        <v>1232.6932704397871</v>
      </c>
      <c r="AE138" s="102">
        <f t="shared" si="137"/>
        <v>1187.7305122192429</v>
      </c>
      <c r="AF138" s="102">
        <f t="shared" si="137"/>
        <v>1140.7207016459267</v>
      </c>
      <c r="AG138" s="102">
        <f t="shared" si="137"/>
        <v>1091.5648609352083</v>
      </c>
      <c r="AH138" s="102">
        <f t="shared" si="137"/>
        <v>1040.1589468388268</v>
      </c>
      <c r="AI138" s="102">
        <f t="shared" si="137"/>
        <v>986.39371503003349</v>
      </c>
      <c r="AJ138" s="102">
        <f t="shared" si="137"/>
        <v>930.15431614775173</v>
      </c>
      <c r="AK138" s="102">
        <f t="shared" si="137"/>
        <v>871.3200638186056</v>
      </c>
      <c r="AL138" s="102">
        <f t="shared" si="137"/>
        <v>809.76421726433591</v>
      </c>
      <c r="AM138" s="102">
        <f t="shared" si="137"/>
        <v>745.35344558370002</v>
      </c>
      <c r="AN138" s="102">
        <f t="shared" si="137"/>
        <v>677.94767050192161</v>
      </c>
      <c r="AO138" s="102">
        <f t="shared" si="137"/>
        <v>619.7691584118694</v>
      </c>
      <c r="AP138" s="102">
        <f t="shared" si="137"/>
        <v>570.27402888364463</v>
      </c>
      <c r="AQ138" s="102">
        <f t="shared" si="137"/>
        <v>519.88047717538984</v>
      </c>
      <c r="AR138" s="102">
        <f t="shared" si="137"/>
        <v>467.59883857849184</v>
      </c>
      <c r="AS138" s="102">
        <f t="shared" si="137"/>
        <v>412.54828446436062</v>
      </c>
      <c r="AT138" s="102">
        <f t="shared" si="137"/>
        <v>354.49174874328321</v>
      </c>
      <c r="AU138" s="102">
        <f t="shared" si="137"/>
        <v>293.26474305431907</v>
      </c>
      <c r="AV138" s="102">
        <f t="shared" si="137"/>
        <v>228.69378171968924</v>
      </c>
      <c r="AW138" s="102">
        <f t="shared" si="137"/>
        <v>160.59582833515825</v>
      </c>
      <c r="AX138" s="102">
        <f t="shared" si="137"/>
        <v>88.927624348898206</v>
      </c>
      <c r="AY138" s="102">
        <f t="shared" si="137"/>
        <v>16.692146588627544</v>
      </c>
      <c r="AZ138" s="102">
        <f t="shared" si="137"/>
        <v>0</v>
      </c>
      <c r="BA138" s="102">
        <f t="shared" si="137"/>
        <v>0</v>
      </c>
      <c r="BB138" s="102">
        <f t="shared" si="137"/>
        <v>0</v>
      </c>
      <c r="BC138" s="102">
        <f t="shared" si="137"/>
        <v>0</v>
      </c>
      <c r="BD138" s="102">
        <f t="shared" si="137"/>
        <v>0</v>
      </c>
      <c r="BE138" s="102"/>
      <c r="BF138" s="102"/>
      <c r="BG138" s="102"/>
      <c r="BH138" s="102"/>
      <c r="BI138" s="102"/>
    </row>
    <row r="139" spans="1:61" x14ac:dyDescent="0.25">
      <c r="A139" s="16" t="s">
        <v>225</v>
      </c>
      <c r="B139" s="101">
        <f>SUM(C139:BB139)</f>
        <v>56937.320132256755</v>
      </c>
      <c r="C139" s="102">
        <f t="shared" si="137"/>
        <v>0</v>
      </c>
      <c r="D139" s="102">
        <f t="shared" si="137"/>
        <v>0</v>
      </c>
      <c r="E139" s="102">
        <f t="shared" si="137"/>
        <v>0</v>
      </c>
      <c r="F139" s="102">
        <f t="shared" si="137"/>
        <v>0</v>
      </c>
      <c r="G139" s="102">
        <f t="shared" si="137"/>
        <v>0</v>
      </c>
      <c r="H139" s="102">
        <f t="shared" si="137"/>
        <v>0</v>
      </c>
      <c r="I139" s="102">
        <f t="shared" si="137"/>
        <v>0</v>
      </c>
      <c r="J139" s="102">
        <f t="shared" si="137"/>
        <v>0</v>
      </c>
      <c r="K139" s="102">
        <f t="shared" si="137"/>
        <v>0</v>
      </c>
      <c r="L139" s="102">
        <f t="shared" si="137"/>
        <v>0</v>
      </c>
      <c r="M139" s="102">
        <f t="shared" si="137"/>
        <v>0</v>
      </c>
      <c r="N139" s="102">
        <f t="shared" si="137"/>
        <v>0</v>
      </c>
      <c r="O139" s="102">
        <f t="shared" si="137"/>
        <v>383.65713888036998</v>
      </c>
      <c r="P139" s="102">
        <f t="shared" si="137"/>
        <v>678.3142777607394</v>
      </c>
      <c r="Q139" s="102">
        <f t="shared" si="137"/>
        <v>677.31427776073883</v>
      </c>
      <c r="R139" s="102">
        <f t="shared" si="137"/>
        <v>768.31427776073929</v>
      </c>
      <c r="S139" s="102">
        <f t="shared" si="137"/>
        <v>759.06900354000004</v>
      </c>
      <c r="T139" s="102">
        <f t="shared" si="137"/>
        <v>758.96673539999995</v>
      </c>
      <c r="U139" s="102">
        <f t="shared" si="137"/>
        <v>758.86124641499998</v>
      </c>
      <c r="V139" s="102">
        <f t="shared" si="137"/>
        <v>758.75243658499994</v>
      </c>
      <c r="W139" s="102">
        <f t="shared" si="137"/>
        <v>758.64020591000008</v>
      </c>
      <c r="X139" s="102">
        <f t="shared" si="137"/>
        <v>758.52444244499998</v>
      </c>
      <c r="Y139" s="102">
        <f t="shared" si="137"/>
        <v>777.99795786853633</v>
      </c>
      <c r="Z139" s="102">
        <f t="shared" si="137"/>
        <v>1586.0081335653504</v>
      </c>
      <c r="AA139" s="102">
        <f t="shared" si="137"/>
        <v>2258.7297432085688</v>
      </c>
      <c r="AB139" s="102">
        <f t="shared" si="137"/>
        <v>2285.0516732001179</v>
      </c>
      <c r="AC139" s="102">
        <f t="shared" si="137"/>
        <v>2288.1018848975418</v>
      </c>
      <c r="AD139" s="102">
        <f t="shared" si="137"/>
        <v>2287.8901542079097</v>
      </c>
      <c r="AE139" s="102">
        <f t="shared" si="137"/>
        <v>2287.6702445374685</v>
      </c>
      <c r="AF139" s="102">
        <f t="shared" si="137"/>
        <v>2287.4417739844994</v>
      </c>
      <c r="AG139" s="102">
        <f t="shared" si="137"/>
        <v>2287.204436866974</v>
      </c>
      <c r="AH139" s="102">
        <f t="shared" si="137"/>
        <v>2286.9578341619658</v>
      </c>
      <c r="AI139" s="102">
        <f t="shared" si="137"/>
        <v>2286.7016019784123</v>
      </c>
      <c r="AJ139" s="102">
        <f t="shared" si="137"/>
        <v>2286.4353154410328</v>
      </c>
      <c r="AK139" s="102">
        <f t="shared" si="137"/>
        <v>2286.1585465719081</v>
      </c>
      <c r="AL139" s="102">
        <f t="shared" si="137"/>
        <v>2285.8708866191828</v>
      </c>
      <c r="AM139" s="102">
        <f t="shared" si="137"/>
        <v>2285.5718510968145</v>
      </c>
      <c r="AN139" s="102">
        <f t="shared" si="137"/>
        <v>2285.2610759427066</v>
      </c>
      <c r="AO139" s="102">
        <f t="shared" si="137"/>
        <v>1529.0442583191543</v>
      </c>
      <c r="AP139" s="102">
        <f t="shared" si="137"/>
        <v>1505.6461546613691</v>
      </c>
      <c r="AQ139" s="102">
        <f t="shared" si="137"/>
        <v>1478.9868912649322</v>
      </c>
      <c r="AR139" s="102">
        <f t="shared" si="137"/>
        <v>1475.5843666560916</v>
      </c>
      <c r="AS139" s="102">
        <f t="shared" si="137"/>
        <v>1475.4280761853304</v>
      </c>
      <c r="AT139" s="102">
        <f t="shared" si="137"/>
        <v>1475.2635372877421</v>
      </c>
      <c r="AU139" s="102">
        <f t="shared" si="137"/>
        <v>1475.0902820834126</v>
      </c>
      <c r="AV139" s="102">
        <f t="shared" si="137"/>
        <v>1474.9078868252514</v>
      </c>
      <c r="AW139" s="102">
        <f t="shared" si="137"/>
        <v>1474.7158326919307</v>
      </c>
      <c r="AX139" s="102">
        <f t="shared" si="137"/>
        <v>1461.1863125046059</v>
      </c>
      <c r="AY139" s="102">
        <f t="shared" si="137"/>
        <v>701.99937717035232</v>
      </c>
      <c r="AZ139" s="102">
        <f t="shared" si="137"/>
        <v>0</v>
      </c>
      <c r="BA139" s="102">
        <f t="shared" si="137"/>
        <v>0</v>
      </c>
      <c r="BB139" s="102">
        <f t="shared" si="137"/>
        <v>0</v>
      </c>
      <c r="BC139" s="102">
        <f t="shared" si="137"/>
        <v>0</v>
      </c>
      <c r="BD139" s="102">
        <f t="shared" si="137"/>
        <v>0</v>
      </c>
      <c r="BE139" s="102"/>
      <c r="BF139" s="102"/>
      <c r="BG139" s="102"/>
      <c r="BH139" s="102"/>
      <c r="BI139" s="102"/>
    </row>
  </sheetData>
  <pageMargins left="0.7" right="0.7" top="0.75" bottom="0.75" header="0.3" footer="0.3"/>
  <pageSetup paperSize="5"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0991-A79C-4101-8B0C-ED7834BFDD66}">
  <sheetPr>
    <pageSetUpPr fitToPage="1"/>
  </sheetPr>
  <dimension ref="A1:BJ146"/>
  <sheetViews>
    <sheetView zoomScale="80" zoomScaleNormal="80" workbookViewId="0">
      <pane xSplit="2" ySplit="2" topLeftCell="S3" activePane="bottomRight" state="frozen"/>
      <selection pane="topRight" activeCell="AA8" sqref="AA8"/>
      <selection pane="bottomLeft" activeCell="AA8" sqref="AA8"/>
      <selection pane="bottomRight" activeCell="Z4" sqref="Z4"/>
    </sheetView>
  </sheetViews>
  <sheetFormatPr defaultColWidth="9.21875" defaultRowHeight="13.2" outlineLevelRow="1" outlineLevelCol="1" x14ac:dyDescent="0.25"/>
  <cols>
    <col min="1" max="1" width="44.44140625" style="20" customWidth="1"/>
    <col min="2" max="2" width="12.77734375" style="21" customWidth="1"/>
    <col min="3" max="18" width="10.77734375" style="19" hidden="1" customWidth="1" outlineLevel="1"/>
    <col min="19" max="19" width="14.44140625" style="19" bestFit="1" customWidth="1" collapsed="1"/>
    <col min="20" max="23" width="13.21875" style="19" bestFit="1" customWidth="1"/>
    <col min="24" max="24" width="12" style="19" customWidth="1"/>
    <col min="25" max="29" width="10.77734375" style="19" customWidth="1"/>
    <col min="30" max="61" width="10.77734375" style="19" customWidth="1" outlineLevel="1"/>
    <col min="62" max="16384" width="9.21875" style="19"/>
  </cols>
  <sheetData>
    <row r="1" spans="1:62" ht="15.6" x14ac:dyDescent="0.3">
      <c r="A1" s="110" t="s">
        <v>234</v>
      </c>
      <c r="B1" s="18" t="s">
        <v>186</v>
      </c>
      <c r="C1" s="18">
        <v>2000</v>
      </c>
      <c r="D1" s="18">
        <f>C1+1</f>
        <v>2001</v>
      </c>
      <c r="E1" s="18">
        <f t="shared" ref="E1:BI1" si="0">D1+1</f>
        <v>2002</v>
      </c>
      <c r="F1" s="18">
        <f t="shared" si="0"/>
        <v>2003</v>
      </c>
      <c r="G1" s="18">
        <f t="shared" si="0"/>
        <v>2004</v>
      </c>
      <c r="H1" s="18">
        <f>G1+1</f>
        <v>2005</v>
      </c>
      <c r="I1" s="18">
        <f t="shared" si="0"/>
        <v>2006</v>
      </c>
      <c r="J1" s="18">
        <f t="shared" si="0"/>
        <v>2007</v>
      </c>
      <c r="K1" s="18">
        <f t="shared" si="0"/>
        <v>2008</v>
      </c>
      <c r="L1" s="18">
        <f t="shared" si="0"/>
        <v>2009</v>
      </c>
      <c r="M1" s="18">
        <f t="shared" si="0"/>
        <v>2010</v>
      </c>
      <c r="N1" s="18">
        <f t="shared" si="0"/>
        <v>2011</v>
      </c>
      <c r="O1" s="18">
        <f t="shared" si="0"/>
        <v>2012</v>
      </c>
      <c r="P1" s="18">
        <f t="shared" si="0"/>
        <v>2013</v>
      </c>
      <c r="Q1" s="18">
        <f t="shared" si="0"/>
        <v>2014</v>
      </c>
      <c r="R1" s="18">
        <f t="shared" si="0"/>
        <v>2015</v>
      </c>
      <c r="S1" s="18">
        <f t="shared" si="0"/>
        <v>2016</v>
      </c>
      <c r="T1" s="18">
        <f t="shared" si="0"/>
        <v>2017</v>
      </c>
      <c r="U1" s="18">
        <f t="shared" si="0"/>
        <v>2018</v>
      </c>
      <c r="V1" s="18">
        <f t="shared" si="0"/>
        <v>2019</v>
      </c>
      <c r="W1" s="18">
        <f t="shared" si="0"/>
        <v>2020</v>
      </c>
      <c r="X1" s="18">
        <f t="shared" si="0"/>
        <v>2021</v>
      </c>
      <c r="Y1" s="18">
        <f t="shared" si="0"/>
        <v>2022</v>
      </c>
      <c r="Z1" s="18">
        <f t="shared" si="0"/>
        <v>2023</v>
      </c>
      <c r="AA1" s="18">
        <f t="shared" si="0"/>
        <v>2024</v>
      </c>
      <c r="AB1" s="18">
        <f t="shared" si="0"/>
        <v>2025</v>
      </c>
      <c r="AC1" s="18">
        <f t="shared" si="0"/>
        <v>2026</v>
      </c>
      <c r="AD1" s="18">
        <f t="shared" si="0"/>
        <v>2027</v>
      </c>
      <c r="AE1" s="18">
        <f t="shared" si="0"/>
        <v>2028</v>
      </c>
      <c r="AF1" s="18">
        <f t="shared" si="0"/>
        <v>2029</v>
      </c>
      <c r="AG1" s="18">
        <f t="shared" si="0"/>
        <v>2030</v>
      </c>
      <c r="AH1" s="18">
        <f t="shared" si="0"/>
        <v>2031</v>
      </c>
      <c r="AI1" s="18">
        <f t="shared" si="0"/>
        <v>2032</v>
      </c>
      <c r="AJ1" s="18">
        <f t="shared" si="0"/>
        <v>2033</v>
      </c>
      <c r="AK1" s="18">
        <f t="shared" si="0"/>
        <v>2034</v>
      </c>
      <c r="AL1" s="18">
        <f t="shared" si="0"/>
        <v>2035</v>
      </c>
      <c r="AM1" s="18">
        <f t="shared" si="0"/>
        <v>2036</v>
      </c>
      <c r="AN1" s="18">
        <f t="shared" si="0"/>
        <v>2037</v>
      </c>
      <c r="AO1" s="18">
        <f t="shared" si="0"/>
        <v>2038</v>
      </c>
      <c r="AP1" s="18">
        <f t="shared" si="0"/>
        <v>2039</v>
      </c>
      <c r="AQ1" s="18">
        <f t="shared" si="0"/>
        <v>2040</v>
      </c>
      <c r="AR1" s="18">
        <f t="shared" si="0"/>
        <v>2041</v>
      </c>
      <c r="AS1" s="18">
        <f t="shared" si="0"/>
        <v>2042</v>
      </c>
      <c r="AT1" s="18">
        <f t="shared" si="0"/>
        <v>2043</v>
      </c>
      <c r="AU1" s="18">
        <f t="shared" si="0"/>
        <v>2044</v>
      </c>
      <c r="AV1" s="18">
        <f t="shared" si="0"/>
        <v>2045</v>
      </c>
      <c r="AW1" s="18">
        <f t="shared" si="0"/>
        <v>2046</v>
      </c>
      <c r="AX1" s="18">
        <f t="shared" si="0"/>
        <v>2047</v>
      </c>
      <c r="AY1" s="18">
        <f t="shared" si="0"/>
        <v>2048</v>
      </c>
      <c r="AZ1" s="18">
        <f t="shared" si="0"/>
        <v>2049</v>
      </c>
      <c r="BA1" s="18">
        <f t="shared" si="0"/>
        <v>2050</v>
      </c>
      <c r="BB1" s="18">
        <f t="shared" si="0"/>
        <v>2051</v>
      </c>
      <c r="BC1" s="18">
        <f t="shared" si="0"/>
        <v>2052</v>
      </c>
      <c r="BD1" s="18">
        <f t="shared" si="0"/>
        <v>2053</v>
      </c>
      <c r="BE1" s="18">
        <f t="shared" si="0"/>
        <v>2054</v>
      </c>
      <c r="BF1" s="18">
        <f t="shared" si="0"/>
        <v>2055</v>
      </c>
      <c r="BG1" s="18">
        <f t="shared" si="0"/>
        <v>2056</v>
      </c>
      <c r="BH1" s="18">
        <f t="shared" si="0"/>
        <v>2057</v>
      </c>
      <c r="BI1" s="18">
        <f t="shared" si="0"/>
        <v>2058</v>
      </c>
      <c r="BJ1" s="111"/>
    </row>
    <row r="2" spans="1:62" ht="26.4" x14ac:dyDescent="0.25">
      <c r="A2" s="112" t="s">
        <v>207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62" ht="26.4" x14ac:dyDescent="0.25">
      <c r="A3" s="112" t="s">
        <v>208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62" x14ac:dyDescent="0.25">
      <c r="A4" s="113" t="s">
        <v>209</v>
      </c>
      <c r="B4" s="89">
        <f>SUM(C4:BB4)</f>
        <v>82425.365999999995</v>
      </c>
      <c r="C4" s="90"/>
      <c r="D4" s="90"/>
      <c r="E4" s="90"/>
      <c r="F4" s="90"/>
      <c r="G4" s="90"/>
      <c r="H4" s="90"/>
      <c r="I4" s="90">
        <v>17713.07805</v>
      </c>
      <c r="J4" s="90">
        <v>28702.939359999968</v>
      </c>
      <c r="K4" s="90">
        <v>18122.982589999963</v>
      </c>
      <c r="L4" s="90">
        <v>2000.0000000000111</v>
      </c>
      <c r="M4" s="90">
        <v>599.99999999999818</v>
      </c>
      <c r="N4" s="90">
        <v>6376.9999999999663</v>
      </c>
      <c r="O4" s="90">
        <v>7016.0000000000837</v>
      </c>
      <c r="P4" s="90">
        <v>418.99999999999818</v>
      </c>
      <c r="Q4" s="90"/>
      <c r="R4" s="90"/>
      <c r="S4" s="90"/>
      <c r="T4" s="90"/>
      <c r="U4" s="90"/>
      <c r="V4" s="90"/>
      <c r="W4" s="90"/>
      <c r="X4" s="90"/>
      <c r="Y4" s="90"/>
      <c r="Z4" s="90">
        <v>1474.366</v>
      </c>
      <c r="AA4" s="90"/>
      <c r="AB4" s="90"/>
      <c r="AC4" s="90"/>
      <c r="AD4" s="92"/>
      <c r="AE4" s="92"/>
      <c r="AF4" s="92"/>
      <c r="AG4" s="92"/>
      <c r="AH4" s="92"/>
      <c r="AI4" s="92"/>
      <c r="AJ4" s="92"/>
      <c r="AK4" s="92"/>
      <c r="AL4" s="92"/>
      <c r="AM4" s="92"/>
      <c r="AN4" s="92"/>
      <c r="AO4" s="92"/>
      <c r="AP4" s="92"/>
      <c r="AQ4" s="92"/>
      <c r="AR4" s="91"/>
      <c r="AS4" s="91"/>
      <c r="AT4" s="91"/>
    </row>
    <row r="5" spans="1:62" x14ac:dyDescent="0.25">
      <c r="A5" s="20" t="s">
        <v>210</v>
      </c>
      <c r="B5" s="89"/>
      <c r="C5" s="114"/>
      <c r="D5" s="114"/>
      <c r="E5" s="114"/>
      <c r="F5" s="114"/>
      <c r="G5" s="114"/>
      <c r="H5" s="114"/>
      <c r="I5" s="114" t="s">
        <v>235</v>
      </c>
      <c r="J5" s="181">
        <v>4.9700000000000001E-2</v>
      </c>
      <c r="K5" s="114" t="s">
        <v>236</v>
      </c>
      <c r="L5" s="181">
        <v>4.7500000000000001E-2</v>
      </c>
      <c r="M5" s="181">
        <v>3.9199999999999999E-2</v>
      </c>
      <c r="N5" s="181">
        <v>3.4099999999999998E-2</v>
      </c>
      <c r="O5" s="114" t="s">
        <v>231</v>
      </c>
      <c r="P5" s="181">
        <v>3.9E-2</v>
      </c>
      <c r="Q5" s="114"/>
      <c r="R5" s="115"/>
      <c r="T5" s="115"/>
      <c r="U5" s="115"/>
      <c r="V5" s="116"/>
      <c r="Z5" s="240">
        <v>5.33E-2</v>
      </c>
      <c r="AD5" s="92"/>
      <c r="AE5" s="92"/>
      <c r="AF5" s="92"/>
      <c r="AG5" s="92"/>
      <c r="AH5" s="92"/>
      <c r="AI5" s="92"/>
      <c r="AJ5" s="92"/>
      <c r="AK5" s="92"/>
      <c r="AL5" s="92"/>
      <c r="AM5" s="92"/>
      <c r="AN5" s="92"/>
      <c r="AO5" s="92"/>
      <c r="AP5" s="92"/>
      <c r="AQ5" s="92"/>
      <c r="AR5" s="91"/>
      <c r="AS5" s="91"/>
      <c r="AT5" s="91"/>
    </row>
    <row r="6" spans="1:62" x14ac:dyDescent="0.25">
      <c r="A6" s="20" t="s">
        <v>215</v>
      </c>
      <c r="B6" s="89"/>
      <c r="C6" s="90"/>
      <c r="D6" s="90"/>
      <c r="E6" s="90"/>
      <c r="F6" s="90"/>
      <c r="G6" s="90"/>
      <c r="H6" s="90"/>
      <c r="I6" s="90">
        <v>15</v>
      </c>
      <c r="J6" s="90">
        <v>15</v>
      </c>
      <c r="K6" s="90">
        <v>15</v>
      </c>
      <c r="L6" s="90">
        <v>25</v>
      </c>
      <c r="M6" s="90">
        <v>25</v>
      </c>
      <c r="N6" s="90">
        <v>25</v>
      </c>
      <c r="O6" s="90">
        <v>25</v>
      </c>
      <c r="P6" s="90">
        <v>25</v>
      </c>
      <c r="Q6" s="90"/>
      <c r="R6" s="90"/>
      <c r="T6" s="90"/>
      <c r="U6" s="90"/>
      <c r="Z6" s="19">
        <v>25</v>
      </c>
      <c r="AD6" s="92"/>
      <c r="AE6" s="92"/>
      <c r="AF6" s="92"/>
      <c r="AG6" s="92"/>
      <c r="AH6" s="92"/>
      <c r="AI6" s="92"/>
      <c r="AJ6" s="92"/>
      <c r="AK6" s="92"/>
      <c r="AL6" s="92"/>
      <c r="AM6" s="92"/>
      <c r="AN6" s="92"/>
      <c r="AO6" s="92"/>
      <c r="AP6" s="92"/>
      <c r="AQ6" s="92"/>
      <c r="AR6" s="91"/>
      <c r="AS6" s="91"/>
      <c r="AT6" s="91"/>
    </row>
    <row r="7" spans="1:62" x14ac:dyDescent="0.25">
      <c r="B7" s="89"/>
      <c r="C7" s="90"/>
      <c r="D7" s="90"/>
      <c r="E7" s="90"/>
      <c r="F7" s="90"/>
      <c r="G7" s="90"/>
      <c r="H7" s="90"/>
      <c r="I7" s="90"/>
      <c r="J7" s="90"/>
      <c r="K7" s="90"/>
      <c r="L7" s="90"/>
      <c r="M7" s="90"/>
      <c r="N7" s="90"/>
      <c r="O7" s="90"/>
      <c r="P7" s="90"/>
      <c r="Q7" s="90"/>
      <c r="R7" s="93"/>
      <c r="S7" s="93"/>
      <c r="T7" s="93"/>
      <c r="U7" s="93"/>
      <c r="V7" s="93"/>
      <c r="W7" s="93"/>
      <c r="X7" s="93"/>
      <c r="Y7" s="93"/>
      <c r="Z7" s="93"/>
      <c r="AA7" s="93"/>
      <c r="AB7" s="93"/>
      <c r="AC7" s="93"/>
      <c r="AD7" s="92"/>
      <c r="AE7" s="92"/>
      <c r="AF7" s="92"/>
      <c r="AG7" s="92"/>
      <c r="AH7" s="92"/>
      <c r="AI7" s="92"/>
      <c r="AJ7" s="92"/>
      <c r="AK7" s="92"/>
      <c r="AL7" s="92"/>
      <c r="AM7" s="92"/>
      <c r="AN7" s="92"/>
      <c r="AO7" s="92"/>
      <c r="AP7" s="92"/>
      <c r="AQ7" s="92"/>
      <c r="AR7" s="91"/>
      <c r="AS7" s="91"/>
      <c r="AT7" s="91"/>
    </row>
    <row r="8" spans="1:62" x14ac:dyDescent="0.25">
      <c r="A8" s="113" t="s">
        <v>216</v>
      </c>
      <c r="B8" s="89">
        <f>SUM(C8:BB8)</f>
        <v>18775.64</v>
      </c>
      <c r="C8" s="90"/>
      <c r="D8" s="90"/>
      <c r="E8" s="90"/>
      <c r="F8" s="90"/>
      <c r="G8" s="90"/>
      <c r="H8" s="90"/>
      <c r="I8" s="90"/>
      <c r="J8" s="90"/>
      <c r="K8" s="90"/>
      <c r="L8" s="90"/>
      <c r="M8" s="90"/>
      <c r="N8" s="90"/>
      <c r="O8" s="90"/>
      <c r="P8" s="90"/>
      <c r="Q8" s="90"/>
      <c r="R8" s="90"/>
      <c r="S8" s="90"/>
      <c r="T8" s="90"/>
      <c r="U8" s="90"/>
      <c r="V8" s="90"/>
      <c r="W8" s="90"/>
      <c r="X8" s="90"/>
      <c r="Y8" s="90"/>
      <c r="Z8" s="90">
        <f>'Tab 5 - Capital'!P37</f>
        <v>367.64</v>
      </c>
      <c r="AA8" s="90">
        <f>'Tab 5 - Capital'!Q37</f>
        <v>3088.8</v>
      </c>
      <c r="AB8" s="90">
        <f>'Tab 5 - Capital'!R37</f>
        <v>3088.8</v>
      </c>
      <c r="AC8" s="90">
        <f>'Tab 5 - Capital'!S37</f>
        <v>12230.4</v>
      </c>
      <c r="AD8" s="90">
        <f>'Tab 5 - Capital'!T37</f>
        <v>0</v>
      </c>
      <c r="AE8" s="90">
        <f>'Tab 5 - Capital'!U37</f>
        <v>0</v>
      </c>
      <c r="AF8" s="90">
        <f>'Tab 5 - Capital'!V37</f>
        <v>0</v>
      </c>
      <c r="AG8" s="90">
        <f>'Tab 5 - Capital'!W37</f>
        <v>0</v>
      </c>
      <c r="AH8" s="90">
        <f>'Tab 5 - Capital'!X37</f>
        <v>0</v>
      </c>
      <c r="AI8" s="90">
        <f>'Tab 5 - Capital'!Y37</f>
        <v>0</v>
      </c>
      <c r="AJ8" s="90">
        <f>'Tab 5 - Capital'!Z37</f>
        <v>0</v>
      </c>
      <c r="AK8" s="90"/>
      <c r="AL8" s="90"/>
      <c r="AM8" s="90"/>
      <c r="AN8" s="90"/>
      <c r="AO8" s="90"/>
      <c r="AP8" s="90"/>
      <c r="AQ8" s="90"/>
      <c r="AR8" s="91"/>
      <c r="AS8" s="91"/>
      <c r="AT8" s="91"/>
    </row>
    <row r="9" spans="1:62" x14ac:dyDescent="0.25">
      <c r="A9" s="20" t="str">
        <f>A5</f>
        <v>Interest Rate</v>
      </c>
      <c r="B9" s="89"/>
      <c r="C9" s="90"/>
      <c r="D9" s="90"/>
      <c r="E9" s="90"/>
      <c r="F9" s="90"/>
      <c r="G9" s="90"/>
      <c r="H9" s="90"/>
      <c r="I9" s="90"/>
      <c r="J9" s="90"/>
      <c r="K9" s="90"/>
      <c r="L9" s="90"/>
      <c r="M9" s="90"/>
      <c r="N9" s="90"/>
      <c r="O9" s="90"/>
      <c r="P9" s="90"/>
      <c r="Q9" s="90"/>
      <c r="R9" s="94"/>
      <c r="S9" s="94"/>
      <c r="T9" s="94"/>
      <c r="U9" s="94"/>
      <c r="V9" s="94"/>
      <c r="W9" s="94"/>
      <c r="X9" s="94"/>
      <c r="Y9" s="94"/>
      <c r="Z9" s="94">
        <f>'Tab 11 - General'!C6</f>
        <v>5.4950666666666662E-2</v>
      </c>
      <c r="AA9" s="94">
        <f>'Tab 11 - General'!B7</f>
        <v>5.1029714285714275E-2</v>
      </c>
      <c r="AB9" s="94">
        <f>'Tab 11 - General'!B8</f>
        <v>5.1126714285714282E-2</v>
      </c>
      <c r="AC9" s="94">
        <f>'Tab 11 - General'!B9</f>
        <v>5.1888714285714281E-2</v>
      </c>
      <c r="AD9" s="94">
        <f>'Tab 11 - General'!B10</f>
        <v>5.3080714285714287E-2</v>
      </c>
      <c r="AE9" s="94">
        <f>'Tab 11 - General'!B11</f>
        <v>5.4233714285714281E-2</v>
      </c>
      <c r="AF9" s="94">
        <f>'Tab 11 - General'!B12</f>
        <v>5.5004714285714275E-2</v>
      </c>
      <c r="AG9" s="94">
        <f>'Tab 11 - General'!B13</f>
        <v>5.5750714285714278E-2</v>
      </c>
      <c r="AH9" s="94">
        <f>'Tab 11 - General'!B14</f>
        <v>5.6173714285714278E-2</v>
      </c>
      <c r="AI9" s="94">
        <f>'Tab 11 - General'!B15</f>
        <v>5.6544714285714288E-2</v>
      </c>
      <c r="AJ9" s="94">
        <f>'Tab 11 - General'!B16</f>
        <v>5.6904714285714281E-2</v>
      </c>
      <c r="AK9" s="94">
        <f>'Tab 11 - General'!B17</f>
        <v>5.6879714285714277E-2</v>
      </c>
      <c r="AL9" s="94">
        <f>'Tab 11 - General'!B18</f>
        <v>5.6170714285714275E-2</v>
      </c>
      <c r="AM9" s="94">
        <f>'Tab 11 - General'!B19</f>
        <v>5.5462714285714282E-2</v>
      </c>
      <c r="AN9" s="94"/>
      <c r="AO9" s="91"/>
      <c r="AP9" s="91"/>
      <c r="AQ9" s="91"/>
      <c r="AR9" s="91"/>
      <c r="AS9" s="91"/>
      <c r="AT9" s="91"/>
    </row>
    <row r="10" spans="1:62" x14ac:dyDescent="0.25">
      <c r="A10" s="20" t="str">
        <f>A6</f>
        <v>Term (in years)</v>
      </c>
      <c r="B10" s="89"/>
      <c r="C10" s="90"/>
      <c r="D10" s="90"/>
      <c r="E10" s="90"/>
      <c r="F10" s="90"/>
      <c r="G10" s="90"/>
      <c r="H10" s="90"/>
      <c r="I10" s="90"/>
      <c r="J10" s="90"/>
      <c r="K10" s="90"/>
      <c r="L10" s="90"/>
      <c r="M10" s="90"/>
      <c r="N10" s="90"/>
      <c r="O10" s="90"/>
      <c r="P10" s="90"/>
      <c r="Q10" s="90"/>
      <c r="R10" s="93"/>
      <c r="S10" s="93"/>
      <c r="T10" s="93"/>
      <c r="U10" s="93"/>
      <c r="V10" s="93"/>
      <c r="W10" s="93"/>
      <c r="X10" s="93"/>
      <c r="Y10" s="93"/>
      <c r="Z10" s="93">
        <v>25</v>
      </c>
      <c r="AA10" s="93">
        <v>15</v>
      </c>
      <c r="AB10" s="93">
        <v>15</v>
      </c>
      <c r="AC10" s="93">
        <v>15</v>
      </c>
      <c r="AD10" s="93">
        <v>15</v>
      </c>
      <c r="AE10" s="93">
        <v>15</v>
      </c>
      <c r="AF10" s="93">
        <v>15</v>
      </c>
      <c r="AG10" s="93">
        <v>15</v>
      </c>
      <c r="AH10" s="93">
        <v>15</v>
      </c>
      <c r="AI10" s="93">
        <v>15</v>
      </c>
      <c r="AJ10" s="93">
        <v>15</v>
      </c>
      <c r="AK10" s="93">
        <v>15</v>
      </c>
      <c r="AL10" s="93">
        <v>15</v>
      </c>
      <c r="AM10" s="93">
        <v>15</v>
      </c>
      <c r="AN10" s="91"/>
      <c r="AO10" s="91"/>
      <c r="AP10" s="91"/>
      <c r="AQ10" s="91"/>
      <c r="AR10" s="91"/>
      <c r="AS10" s="91"/>
      <c r="AT10" s="91"/>
    </row>
    <row r="11" spans="1:62" x14ac:dyDescent="0.25">
      <c r="B11" s="89"/>
      <c r="C11" s="90"/>
      <c r="D11" s="90"/>
      <c r="E11" s="90"/>
      <c r="F11" s="90"/>
      <c r="G11" s="90"/>
      <c r="H11" s="90"/>
      <c r="I11" s="90"/>
      <c r="J11" s="90"/>
      <c r="K11" s="90"/>
      <c r="L11" s="90"/>
      <c r="M11" s="90"/>
      <c r="N11" s="90"/>
      <c r="O11" s="90"/>
      <c r="P11" s="90"/>
      <c r="Q11" s="90"/>
      <c r="R11" s="93"/>
      <c r="S11" s="93"/>
      <c r="T11" s="93"/>
      <c r="U11" s="93"/>
      <c r="V11" s="93"/>
      <c r="W11" s="93"/>
      <c r="X11" s="93"/>
      <c r="Y11" s="93"/>
      <c r="Z11" s="93"/>
      <c r="AA11" s="93"/>
      <c r="AB11" s="93"/>
      <c r="AC11" s="93"/>
      <c r="AD11" s="91"/>
      <c r="AE11" s="91"/>
      <c r="AF11" s="91"/>
      <c r="AG11" s="91"/>
      <c r="AH11" s="91"/>
      <c r="AI11" s="91"/>
      <c r="AJ11" s="91"/>
      <c r="AK11" s="91"/>
      <c r="AL11" s="91"/>
      <c r="AM11" s="91"/>
      <c r="AN11" s="91"/>
      <c r="AO11" s="91"/>
      <c r="AP11" s="91"/>
      <c r="AQ11" s="91"/>
      <c r="AR11" s="91"/>
      <c r="AS11" s="91"/>
      <c r="AT11" s="91"/>
    </row>
    <row r="12" spans="1:62" x14ac:dyDescent="0.25">
      <c r="B12" s="89"/>
      <c r="C12" s="90"/>
      <c r="D12" s="90"/>
      <c r="E12" s="90"/>
      <c r="F12" s="90"/>
      <c r="G12" s="90"/>
      <c r="H12" s="90"/>
      <c r="I12" s="90"/>
      <c r="J12" s="90"/>
      <c r="K12" s="90"/>
      <c r="L12" s="90"/>
      <c r="M12" s="90"/>
      <c r="N12" s="90"/>
      <c r="O12" s="90"/>
      <c r="P12" s="90"/>
      <c r="Q12" s="90"/>
      <c r="R12" s="91"/>
      <c r="S12" s="93"/>
      <c r="T12" s="93"/>
      <c r="U12" s="93"/>
      <c r="V12" s="93"/>
      <c r="W12" s="93"/>
      <c r="X12" s="93"/>
      <c r="Y12" s="93"/>
      <c r="Z12" s="93"/>
      <c r="AA12" s="93"/>
      <c r="AB12" s="93"/>
      <c r="AC12" s="93"/>
      <c r="AD12" s="91"/>
      <c r="AE12" s="91"/>
      <c r="AF12" s="91"/>
      <c r="AG12" s="91"/>
      <c r="AH12" s="91"/>
      <c r="AI12" s="91"/>
      <c r="AJ12" s="91"/>
      <c r="AK12" s="91"/>
      <c r="AL12" s="91"/>
      <c r="AM12" s="91"/>
      <c r="AN12" s="91"/>
      <c r="AO12" s="91"/>
      <c r="AP12" s="91"/>
      <c r="AQ12" s="91"/>
      <c r="AR12" s="91"/>
      <c r="AS12" s="91"/>
      <c r="AT12" s="91"/>
    </row>
    <row r="13" spans="1:62" s="91" customFormat="1" hidden="1" outlineLevel="1" x14ac:dyDescent="0.25">
      <c r="A13" s="95" t="s">
        <v>217</v>
      </c>
      <c r="B13" s="101">
        <f>SUM(C13:BB13)</f>
        <v>80950.987490780259</v>
      </c>
      <c r="C13" s="99"/>
      <c r="D13" s="99"/>
      <c r="E13" s="99"/>
      <c r="F13" s="99"/>
      <c r="G13" s="99"/>
      <c r="H13" s="105"/>
      <c r="I13" s="105">
        <v>103.49952</v>
      </c>
      <c r="J13" s="105">
        <v>1803.8334299999999</v>
      </c>
      <c r="K13" s="105">
        <v>3012.4389099999999</v>
      </c>
      <c r="L13" s="105">
        <v>1556.9666139547558</v>
      </c>
      <c r="M13" s="98">
        <v>2398.9123353877517</v>
      </c>
      <c r="N13" s="98">
        <v>3515.5424602448948</v>
      </c>
      <c r="O13" s="98">
        <v>4199.9608204877532</v>
      </c>
      <c r="P13" s="98">
        <v>2479.4620885092195</v>
      </c>
      <c r="Q13" s="98">
        <v>5262.5705640340584</v>
      </c>
      <c r="R13" s="99">
        <v>4548.3332345357512</v>
      </c>
      <c r="S13" s="99">
        <v>4341.5894770407849</v>
      </c>
      <c r="T13" s="99">
        <v>4497.0379825563232</v>
      </c>
      <c r="U13" s="99">
        <v>4658.831411320507</v>
      </c>
      <c r="V13" s="99">
        <v>4827.2849648632036</v>
      </c>
      <c r="W13" s="99">
        <v>5002.6615137699118</v>
      </c>
      <c r="X13" s="99">
        <v>4972.0251944367992</v>
      </c>
      <c r="Y13" s="99">
        <v>4217.9454687822345</v>
      </c>
      <c r="Z13" s="99">
        <v>3392.4231518360239</v>
      </c>
      <c r="AA13" s="99">
        <v>2618.8053702155885</v>
      </c>
      <c r="AB13" s="99">
        <v>2680.8180519734715</v>
      </c>
      <c r="AC13" s="99">
        <v>2520.8496747985819</v>
      </c>
      <c r="AD13" s="99">
        <v>706.5633512667672</v>
      </c>
      <c r="AE13" s="99">
        <v>731.44527829040396</v>
      </c>
      <c r="AF13" s="99">
        <v>757.22489196122365</v>
      </c>
      <c r="AG13" s="99">
        <v>783.93549839796731</v>
      </c>
      <c r="AH13" s="99">
        <v>811.61168734297223</v>
      </c>
      <c r="AI13" s="99">
        <v>840.2893557189384</v>
      </c>
      <c r="AJ13" s="99">
        <v>870.00579928045954</v>
      </c>
      <c r="AK13" s="99">
        <v>900.79975103756146</v>
      </c>
      <c r="AL13" s="99">
        <v>793.61937898954238</v>
      </c>
      <c r="AM13" s="99">
        <v>781.76558493431696</v>
      </c>
      <c r="AN13" s="99">
        <v>336.31123523125001</v>
      </c>
      <c r="AO13" s="99">
        <v>25.623439581249997</v>
      </c>
      <c r="AP13" s="99">
        <v>0</v>
      </c>
      <c r="AQ13" s="99"/>
      <c r="AR13" s="99"/>
      <c r="AS13" s="99"/>
      <c r="AT13" s="99"/>
      <c r="AU13" s="99"/>
      <c r="AV13" s="99"/>
      <c r="AW13" s="99"/>
      <c r="AX13" s="99"/>
      <c r="AY13" s="99"/>
      <c r="AZ13" s="99"/>
      <c r="BA13" s="99"/>
    </row>
    <row r="14" spans="1:62" s="91" customFormat="1" hidden="1" outlineLevel="1" x14ac:dyDescent="0.25">
      <c r="A14" s="95" t="s">
        <v>218</v>
      </c>
      <c r="B14" s="101">
        <f>SUM(C14:BB14)</f>
        <v>32959.950316600429</v>
      </c>
      <c r="C14" s="99"/>
      <c r="D14" s="99"/>
      <c r="E14" s="99"/>
      <c r="F14" s="99"/>
      <c r="G14" s="99"/>
      <c r="H14" s="105"/>
      <c r="I14" s="105">
        <v>119.18186999999999</v>
      </c>
      <c r="J14" s="105">
        <v>616.26769999999999</v>
      </c>
      <c r="K14" s="105">
        <v>2427.0086700000002</v>
      </c>
      <c r="L14" s="105">
        <v>1557.8127779748763</v>
      </c>
      <c r="M14" s="98">
        <v>4001.9115794034478</v>
      </c>
      <c r="N14" s="98">
        <v>2718.7948085334247</v>
      </c>
      <c r="O14" s="98">
        <v>2760.176024347179</v>
      </c>
      <c r="P14" s="98">
        <v>2727.4151558608773</v>
      </c>
      <c r="Q14" s="98">
        <v>2629.0131068557212</v>
      </c>
      <c r="R14" s="99">
        <v>1834.8558537521888</v>
      </c>
      <c r="S14" s="99">
        <v>1681.4353255754918</v>
      </c>
      <c r="T14" s="99">
        <v>1525.4306390935453</v>
      </c>
      <c r="U14" s="99">
        <v>1363.0482721531785</v>
      </c>
      <c r="V14" s="99">
        <v>1193.9954510234372</v>
      </c>
      <c r="W14" s="99">
        <v>1017.9845311617244</v>
      </c>
      <c r="X14" s="99">
        <v>835.1607882503065</v>
      </c>
      <c r="Y14" s="99">
        <v>662.0676734220599</v>
      </c>
      <c r="Z14" s="99">
        <v>541.03553457603152</v>
      </c>
      <c r="AA14" s="99">
        <v>463.48386328923499</v>
      </c>
      <c r="AB14" s="99">
        <v>401.30858350541087</v>
      </c>
      <c r="AC14" s="99">
        <v>337.52898402678579</v>
      </c>
      <c r="AD14" s="99">
        <v>276.56577807737801</v>
      </c>
      <c r="AE14" s="99">
        <v>251.50134400767953</v>
      </c>
      <c r="AF14" s="99">
        <v>225.53203929420181</v>
      </c>
      <c r="AG14" s="99">
        <v>198.62429074368271</v>
      </c>
      <c r="AH14" s="99">
        <v>170.74318297843968</v>
      </c>
      <c r="AI14" s="99">
        <v>141.85249580632029</v>
      </c>
      <c r="AJ14" s="99">
        <v>111.91464714443403</v>
      </c>
      <c r="AK14" s="99">
        <v>80.890535534570645</v>
      </c>
      <c r="AL14" s="99">
        <v>52.321086602834704</v>
      </c>
      <c r="AM14" s="99">
        <v>26.51948944596311</v>
      </c>
      <c r="AN14" s="99">
        <v>7.8584308762500008</v>
      </c>
      <c r="AO14" s="99">
        <v>0.7098032837499999</v>
      </c>
      <c r="AP14" s="99">
        <v>0</v>
      </c>
      <c r="AQ14" s="99"/>
      <c r="AR14" s="99"/>
      <c r="AS14" s="99"/>
      <c r="AT14" s="99"/>
      <c r="AU14" s="99"/>
      <c r="AV14" s="99"/>
      <c r="AW14" s="99"/>
      <c r="AX14" s="99"/>
      <c r="AY14" s="99"/>
      <c r="AZ14" s="99"/>
      <c r="BA14" s="99"/>
    </row>
    <row r="15" spans="1:62" s="92" customFormat="1" hidden="1" outlineLevel="1" x14ac:dyDescent="0.25">
      <c r="A15" s="100"/>
      <c r="B15" s="96"/>
      <c r="C15" s="96"/>
      <c r="D15" s="96"/>
      <c r="E15" s="96"/>
      <c r="F15" s="96"/>
      <c r="G15" s="96"/>
      <c r="H15" s="97"/>
      <c r="I15" s="97"/>
      <c r="J15" s="97"/>
      <c r="K15" s="97"/>
      <c r="L15" s="97"/>
      <c r="M15" s="98"/>
      <c r="N15" s="98"/>
      <c r="O15" s="98"/>
      <c r="P15" s="98"/>
      <c r="Q15" s="98"/>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62" s="92" customFormat="1" hidden="1" outlineLevel="1" x14ac:dyDescent="0.25">
      <c r="A16" s="95" t="s">
        <v>219</v>
      </c>
      <c r="B16" s="101">
        <f>SUM(C16:BC16)</f>
        <v>1474.366</v>
      </c>
      <c r="C16" s="96"/>
      <c r="D16" s="96"/>
      <c r="E16" s="96"/>
      <c r="F16" s="96"/>
      <c r="G16" s="96"/>
      <c r="H16" s="97"/>
      <c r="I16" s="97"/>
      <c r="J16" s="97"/>
      <c r="K16" s="97"/>
      <c r="L16" s="97"/>
      <c r="M16" s="98"/>
      <c r="N16" s="98"/>
      <c r="O16" s="98"/>
      <c r="P16" s="98"/>
      <c r="Q16" s="98"/>
      <c r="R16" s="96"/>
      <c r="S16" s="96"/>
      <c r="T16" s="96"/>
      <c r="U16" s="96"/>
      <c r="V16" s="96"/>
      <c r="W16" s="96"/>
      <c r="X16" s="99"/>
      <c r="Y16" s="96"/>
      <c r="Z16" s="96">
        <f>Z4</f>
        <v>1474.366</v>
      </c>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row>
    <row r="17" spans="1:61" s="92" customFormat="1" hidden="1" outlineLevel="1" x14ac:dyDescent="0.25">
      <c r="A17" s="16" t="s">
        <v>163</v>
      </c>
      <c r="B17" s="101">
        <f>SUM(C17:BC17)</f>
        <v>1474.3660000000002</v>
      </c>
      <c r="C17" s="96"/>
      <c r="D17" s="96"/>
      <c r="E17" s="96"/>
      <c r="F17" s="96"/>
      <c r="G17" s="96"/>
      <c r="H17" s="97"/>
      <c r="I17" s="97"/>
      <c r="J17" s="97"/>
      <c r="K17" s="97"/>
      <c r="L17" s="97"/>
      <c r="M17" s="98"/>
      <c r="N17" s="98"/>
      <c r="O17" s="98"/>
      <c r="P17" s="98"/>
      <c r="Q17" s="98"/>
      <c r="R17" s="96"/>
      <c r="S17" s="96"/>
      <c r="T17" s="96"/>
      <c r="U17" s="96"/>
      <c r="V17" s="96"/>
      <c r="W17" s="96"/>
      <c r="X17" s="99"/>
      <c r="Y17" s="99"/>
      <c r="Z17" s="99">
        <v>14.419290807258825</v>
      </c>
      <c r="AA17" s="99">
        <v>30.001639569988235</v>
      </c>
      <c r="AB17" s="99">
        <v>31.622045858658822</v>
      </c>
      <c r="AC17" s="99">
        <v>33.329951433058824</v>
      </c>
      <c r="AD17" s="99">
        <v>35.130108955352938</v>
      </c>
      <c r="AE17" s="99">
        <v>37.027496578976475</v>
      </c>
      <c r="AF17" s="99">
        <v>39.027352639600004</v>
      </c>
      <c r="AG17" s="99">
        <v>41.135236364317649</v>
      </c>
      <c r="AH17" s="99">
        <v>43.356958489717648</v>
      </c>
      <c r="AI17" s="99">
        <v>45.698676662035297</v>
      </c>
      <c r="AJ17" s="99">
        <v>48.166878091670583</v>
      </c>
      <c r="AK17" s="99">
        <v>50.768370880447065</v>
      </c>
      <c r="AL17" s="99">
        <v>53.510388094505885</v>
      </c>
      <c r="AM17" s="99">
        <v>56.40050103689412</v>
      </c>
      <c r="AN17" s="99">
        <v>59.4466973022353</v>
      </c>
      <c r="AO17" s="99">
        <v>62.65743281317647</v>
      </c>
      <c r="AP17" s="99">
        <v>66.041571111200014</v>
      </c>
      <c r="AQ17" s="99">
        <v>69.608496102258826</v>
      </c>
      <c r="AR17" s="99">
        <v>73.368060020329409</v>
      </c>
      <c r="AS17" s="99">
        <v>77.330687500305885</v>
      </c>
      <c r="AT17" s="99">
        <v>81.507332214294124</v>
      </c>
      <c r="AU17" s="99">
        <v>85.909563599023528</v>
      </c>
      <c r="AV17" s="99">
        <v>90.549566855847061</v>
      </c>
      <c r="AW17" s="99">
        <v>95.440160296223539</v>
      </c>
      <c r="AX17" s="96">
        <v>100.59489941461177</v>
      </c>
      <c r="AY17" s="96">
        <v>52.316637308011771</v>
      </c>
      <c r="AZ17" s="96"/>
      <c r="BA17" s="96"/>
      <c r="BB17" s="96"/>
      <c r="BC17" s="96"/>
      <c r="BD17" s="96"/>
      <c r="BE17" s="96"/>
      <c r="BF17" s="96"/>
      <c r="BG17" s="96"/>
      <c r="BH17" s="96"/>
      <c r="BI17" s="96"/>
    </row>
    <row r="18" spans="1:61" s="92" customFormat="1" hidden="1" outlineLevel="1" x14ac:dyDescent="0.25">
      <c r="A18" s="16" t="s">
        <v>164</v>
      </c>
      <c r="B18" s="101">
        <f>SUM(C18:BC18)</f>
        <v>1211.1909578352233</v>
      </c>
      <c r="C18" s="96"/>
      <c r="D18" s="96"/>
      <c r="E18" s="96"/>
      <c r="F18" s="96"/>
      <c r="G18" s="96"/>
      <c r="H18" s="97"/>
      <c r="I18" s="97"/>
      <c r="J18" s="97"/>
      <c r="K18" s="97"/>
      <c r="L18" s="97"/>
      <c r="M18" s="98"/>
      <c r="N18" s="98"/>
      <c r="O18" s="98"/>
      <c r="P18" s="98"/>
      <c r="Q18" s="98"/>
      <c r="R18" s="96"/>
      <c r="S18" s="96"/>
      <c r="T18" s="96"/>
      <c r="U18" s="96"/>
      <c r="V18" s="96"/>
      <c r="W18" s="96"/>
      <c r="X18" s="99"/>
      <c r="Y18" s="99"/>
      <c r="Z18" s="99">
        <v>62.292466518988242</v>
      </c>
      <c r="AA18" s="99">
        <v>76.947985450411764</v>
      </c>
      <c r="AB18" s="99">
        <v>75.302063957200005</v>
      </c>
      <c r="AC18" s="99">
        <v>73.567246866929409</v>
      </c>
      <c r="AD18" s="99">
        <v>71.738720808247066</v>
      </c>
      <c r="AE18" s="99">
        <v>69.811446918529413</v>
      </c>
      <c r="AF18" s="99">
        <v>67.780082789211761</v>
      </c>
      <c r="AG18" s="99">
        <v>65.63899113852942</v>
      </c>
      <c r="AH18" s="99">
        <v>63.382265829741179</v>
      </c>
      <c r="AI18" s="99">
        <v>61.003653816458822</v>
      </c>
      <c r="AJ18" s="99">
        <v>58.496572488129424</v>
      </c>
      <c r="AK18" s="99">
        <v>55.854092324552937</v>
      </c>
      <c r="AL18" s="99">
        <v>53.068876186694119</v>
      </c>
      <c r="AM18" s="99">
        <v>50.13323135312941</v>
      </c>
      <c r="AN18" s="99">
        <v>47.039040138117649</v>
      </c>
      <c r="AO18" s="99">
        <v>43.777725200635295</v>
      </c>
      <c r="AP18" s="99">
        <v>40.340266889858825</v>
      </c>
      <c r="AQ18" s="99">
        <v>36.717151208717645</v>
      </c>
      <c r="AR18" s="99">
        <v>32.89836114115294</v>
      </c>
      <c r="AS18" s="99">
        <v>28.873307270188231</v>
      </c>
      <c r="AT18" s="99">
        <v>24.630853796152945</v>
      </c>
      <c r="AU18" s="99">
        <v>20.159266500235297</v>
      </c>
      <c r="AV18" s="99">
        <v>15.446169380776473</v>
      </c>
      <c r="AW18" s="99">
        <v>10.478527307788235</v>
      </c>
      <c r="AX18" s="96">
        <v>5.2425766410235299</v>
      </c>
      <c r="AY18" s="96">
        <v>0.57001591382352945</v>
      </c>
      <c r="AZ18" s="96"/>
      <c r="BA18" s="96"/>
      <c r="BB18" s="96"/>
      <c r="BC18" s="96"/>
      <c r="BD18" s="96"/>
      <c r="BE18" s="96"/>
      <c r="BF18" s="96"/>
      <c r="BG18" s="96"/>
      <c r="BH18" s="96"/>
      <c r="BI18" s="96"/>
    </row>
    <row r="19" spans="1:61" s="92" customFormat="1" hidden="1" outlineLevel="1" x14ac:dyDescent="0.25">
      <c r="A19" s="16" t="s">
        <v>220</v>
      </c>
      <c r="B19" s="101">
        <f>SUM(C19:BC19)</f>
        <v>2685.5569578352238</v>
      </c>
      <c r="C19" s="96"/>
      <c r="D19" s="96"/>
      <c r="E19" s="96"/>
      <c r="F19" s="96"/>
      <c r="G19" s="96"/>
      <c r="H19" s="97"/>
      <c r="I19" s="97"/>
      <c r="J19" s="97"/>
      <c r="K19" s="97"/>
      <c r="L19" s="97"/>
      <c r="M19" s="98"/>
      <c r="N19" s="98"/>
      <c r="O19" s="98"/>
      <c r="P19" s="98"/>
      <c r="Q19" s="98"/>
      <c r="R19" s="96"/>
      <c r="S19" s="96"/>
      <c r="T19" s="96"/>
      <c r="U19" s="96"/>
      <c r="V19" s="96"/>
      <c r="W19" s="96"/>
      <c r="X19" s="99"/>
      <c r="Y19" s="99"/>
      <c r="Z19" s="99">
        <f t="shared" ref="Z19:AW19" si="1">Z17+Z18</f>
        <v>76.711757326247067</v>
      </c>
      <c r="AA19" s="99">
        <f t="shared" si="1"/>
        <v>106.94962502039999</v>
      </c>
      <c r="AB19" s="99">
        <f t="shared" si="1"/>
        <v>106.92410981585883</v>
      </c>
      <c r="AC19" s="99">
        <f t="shared" si="1"/>
        <v>106.89719829998823</v>
      </c>
      <c r="AD19" s="99">
        <f t="shared" si="1"/>
        <v>106.8688297636</v>
      </c>
      <c r="AE19" s="99">
        <f t="shared" si="1"/>
        <v>106.83894349750588</v>
      </c>
      <c r="AF19" s="99">
        <f t="shared" si="1"/>
        <v>106.80743542881177</v>
      </c>
      <c r="AG19" s="99">
        <f t="shared" si="1"/>
        <v>106.77422750284707</v>
      </c>
      <c r="AH19" s="99">
        <f t="shared" si="1"/>
        <v>106.73922431945883</v>
      </c>
      <c r="AI19" s="99">
        <f t="shared" si="1"/>
        <v>106.70233047849412</v>
      </c>
      <c r="AJ19" s="99">
        <f t="shared" si="1"/>
        <v>106.66345057980001</v>
      </c>
      <c r="AK19" s="99">
        <f t="shared" si="1"/>
        <v>106.622463205</v>
      </c>
      <c r="AL19" s="99">
        <f t="shared" si="1"/>
        <v>106.57926428120001</v>
      </c>
      <c r="AM19" s="99">
        <f t="shared" si="1"/>
        <v>106.53373239002353</v>
      </c>
      <c r="AN19" s="99">
        <f t="shared" si="1"/>
        <v>106.48573744035295</v>
      </c>
      <c r="AO19" s="99">
        <f t="shared" si="1"/>
        <v>106.43515801381176</v>
      </c>
      <c r="AP19" s="99">
        <f t="shared" si="1"/>
        <v>106.38183800105884</v>
      </c>
      <c r="AQ19" s="99">
        <f t="shared" si="1"/>
        <v>106.32564731097648</v>
      </c>
      <c r="AR19" s="99">
        <f t="shared" si="1"/>
        <v>106.26642116148236</v>
      </c>
      <c r="AS19" s="99">
        <f t="shared" si="1"/>
        <v>106.20399477049412</v>
      </c>
      <c r="AT19" s="99">
        <f t="shared" si="1"/>
        <v>106.13818601044707</v>
      </c>
      <c r="AU19" s="99">
        <f t="shared" si="1"/>
        <v>106.06883009925883</v>
      </c>
      <c r="AV19" s="99">
        <f t="shared" si="1"/>
        <v>105.99573623662353</v>
      </c>
      <c r="AW19" s="99">
        <f t="shared" si="1"/>
        <v>105.91868760401178</v>
      </c>
      <c r="AX19" s="99">
        <f t="shared" ref="AX19:AY19" si="2">AX17+AX18</f>
        <v>105.83747605563531</v>
      </c>
      <c r="AY19" s="99">
        <f t="shared" si="2"/>
        <v>52.886653221835303</v>
      </c>
      <c r="AZ19" s="96"/>
      <c r="BA19" s="96"/>
      <c r="BB19" s="96"/>
      <c r="BC19" s="96"/>
      <c r="BD19" s="96"/>
      <c r="BE19" s="96"/>
      <c r="BF19" s="96"/>
      <c r="BG19" s="96"/>
      <c r="BH19" s="96"/>
      <c r="BI19" s="96"/>
    </row>
    <row r="20" spans="1:61" s="92" customFormat="1" hidden="1" outlineLevel="1" x14ac:dyDescent="0.25">
      <c r="A20" s="16" t="s">
        <v>16</v>
      </c>
      <c r="B20" s="101">
        <f>+AV20</f>
        <v>248.35169701884706</v>
      </c>
      <c r="C20" s="96"/>
      <c r="D20" s="96"/>
      <c r="E20" s="96"/>
      <c r="F20" s="96"/>
      <c r="G20" s="96"/>
      <c r="H20" s="97"/>
      <c r="I20" s="97"/>
      <c r="J20" s="97"/>
      <c r="K20" s="97"/>
      <c r="L20" s="97"/>
      <c r="M20" s="98"/>
      <c r="N20" s="98"/>
      <c r="O20" s="98"/>
      <c r="P20" s="98"/>
      <c r="Q20" s="98"/>
      <c r="R20" s="96"/>
      <c r="S20" s="96"/>
      <c r="T20" s="96"/>
      <c r="U20" s="96"/>
      <c r="V20" s="96"/>
      <c r="W20" s="96"/>
      <c r="X20" s="99"/>
      <c r="Y20" s="99"/>
      <c r="Z20" s="99">
        <f>Z16-Z17</f>
        <v>1459.9467091927411</v>
      </c>
      <c r="AA20" s="99">
        <f t="shared" ref="AA20:AW20" si="3">Z20-AA17</f>
        <v>1429.945069622753</v>
      </c>
      <c r="AB20" s="99">
        <f t="shared" si="3"/>
        <v>1398.3230237640942</v>
      </c>
      <c r="AC20" s="99">
        <f t="shared" si="3"/>
        <v>1364.9930723310354</v>
      </c>
      <c r="AD20" s="99">
        <f t="shared" si="3"/>
        <v>1329.8629633756825</v>
      </c>
      <c r="AE20" s="99">
        <f t="shared" si="3"/>
        <v>1292.835466796706</v>
      </c>
      <c r="AF20" s="99">
        <f t="shared" si="3"/>
        <v>1253.808114157106</v>
      </c>
      <c r="AG20" s="99">
        <f t="shared" si="3"/>
        <v>1212.6728777927883</v>
      </c>
      <c r="AH20" s="99">
        <f t="shared" si="3"/>
        <v>1169.3159193030706</v>
      </c>
      <c r="AI20" s="99">
        <f t="shared" si="3"/>
        <v>1123.6172426410353</v>
      </c>
      <c r="AJ20" s="99">
        <f t="shared" si="3"/>
        <v>1075.4503645493646</v>
      </c>
      <c r="AK20" s="99">
        <f t="shared" si="3"/>
        <v>1024.6819936689176</v>
      </c>
      <c r="AL20" s="99">
        <f t="shared" si="3"/>
        <v>971.17160557441173</v>
      </c>
      <c r="AM20" s="99">
        <f t="shared" si="3"/>
        <v>914.77110453751766</v>
      </c>
      <c r="AN20" s="99">
        <f t="shared" si="3"/>
        <v>855.32440723528237</v>
      </c>
      <c r="AO20" s="99">
        <f t="shared" si="3"/>
        <v>792.66697442210591</v>
      </c>
      <c r="AP20" s="99">
        <f t="shared" si="3"/>
        <v>726.62540331090588</v>
      </c>
      <c r="AQ20" s="99">
        <f t="shared" si="3"/>
        <v>657.01690720864701</v>
      </c>
      <c r="AR20" s="99">
        <f t="shared" si="3"/>
        <v>583.64884718831763</v>
      </c>
      <c r="AS20" s="99">
        <f t="shared" si="3"/>
        <v>506.31815968801175</v>
      </c>
      <c r="AT20" s="99">
        <f t="shared" si="3"/>
        <v>424.81082747371761</v>
      </c>
      <c r="AU20" s="99">
        <f t="shared" si="3"/>
        <v>338.90126387469411</v>
      </c>
      <c r="AV20" s="99">
        <f t="shared" si="3"/>
        <v>248.35169701884706</v>
      </c>
      <c r="AW20" s="99">
        <f t="shared" si="3"/>
        <v>152.91153672262351</v>
      </c>
      <c r="AX20" s="99">
        <f t="shared" ref="AX20" si="4">AW20-AX17</f>
        <v>52.316637308011735</v>
      </c>
      <c r="AY20" s="99">
        <f t="shared" ref="AY20" si="5">AX20-AY17</f>
        <v>0</v>
      </c>
      <c r="AZ20" s="96"/>
      <c r="BA20" s="96"/>
      <c r="BB20" s="96"/>
      <c r="BC20" s="96"/>
      <c r="BD20" s="96"/>
      <c r="BE20" s="96"/>
      <c r="BF20" s="96"/>
      <c r="BG20" s="96"/>
      <c r="BH20" s="96"/>
      <c r="BI20" s="96"/>
    </row>
    <row r="21" spans="1:61" s="92" customFormat="1" hidden="1" outlineLevel="1" x14ac:dyDescent="0.25">
      <c r="A21" s="100"/>
      <c r="B21" s="101"/>
      <c r="C21" s="96"/>
      <c r="D21" s="96"/>
      <c r="E21" s="96"/>
      <c r="F21" s="96"/>
      <c r="G21" s="96"/>
      <c r="H21" s="97"/>
      <c r="I21" s="97"/>
      <c r="J21" s="97"/>
      <c r="K21" s="97"/>
      <c r="L21" s="97"/>
      <c r="M21" s="98"/>
      <c r="N21" s="98"/>
      <c r="O21" s="98"/>
      <c r="P21" s="98"/>
      <c r="Q21" s="98"/>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row>
    <row r="22" spans="1:61" collapsed="1" x14ac:dyDescent="0.25">
      <c r="A22" s="21" t="s">
        <v>221</v>
      </c>
      <c r="B22" s="101">
        <f>SUM(C22:BB22)</f>
        <v>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row>
    <row r="23" spans="1:61" x14ac:dyDescent="0.25">
      <c r="A23" s="20" t="s">
        <v>222</v>
      </c>
      <c r="B23" s="101">
        <f>SUM(C23:BB23)</f>
        <v>82425.365999999995</v>
      </c>
      <c r="C23" s="102">
        <f t="shared" ref="C23:AC23" si="6">C4</f>
        <v>0</v>
      </c>
      <c r="D23" s="102">
        <f t="shared" si="6"/>
        <v>0</v>
      </c>
      <c r="E23" s="102">
        <f t="shared" si="6"/>
        <v>0</v>
      </c>
      <c r="F23" s="102">
        <f t="shared" si="6"/>
        <v>0</v>
      </c>
      <c r="G23" s="102">
        <f t="shared" si="6"/>
        <v>0</v>
      </c>
      <c r="H23" s="102">
        <f t="shared" si="6"/>
        <v>0</v>
      </c>
      <c r="I23" s="102">
        <f t="shared" si="6"/>
        <v>17713.07805</v>
      </c>
      <c r="J23" s="102">
        <f t="shared" si="6"/>
        <v>28702.939359999968</v>
      </c>
      <c r="K23" s="102">
        <f t="shared" si="6"/>
        <v>18122.982589999963</v>
      </c>
      <c r="L23" s="102">
        <f t="shared" si="6"/>
        <v>2000.0000000000111</v>
      </c>
      <c r="M23" s="102">
        <f t="shared" si="6"/>
        <v>599.99999999999818</v>
      </c>
      <c r="N23" s="102">
        <f t="shared" si="6"/>
        <v>6376.9999999999663</v>
      </c>
      <c r="O23" s="102">
        <f t="shared" si="6"/>
        <v>7016.0000000000837</v>
      </c>
      <c r="P23" s="102">
        <f t="shared" si="6"/>
        <v>418.99999999999818</v>
      </c>
      <c r="Q23" s="102">
        <f t="shared" si="6"/>
        <v>0</v>
      </c>
      <c r="R23" s="102">
        <f t="shared" si="6"/>
        <v>0</v>
      </c>
      <c r="S23" s="102">
        <f t="shared" si="6"/>
        <v>0</v>
      </c>
      <c r="T23" s="102">
        <f t="shared" si="6"/>
        <v>0</v>
      </c>
      <c r="U23" s="102">
        <f t="shared" si="6"/>
        <v>0</v>
      </c>
      <c r="V23" s="102">
        <f t="shared" si="6"/>
        <v>0</v>
      </c>
      <c r="W23" s="102">
        <f t="shared" si="6"/>
        <v>0</v>
      </c>
      <c r="X23" s="102">
        <f t="shared" si="6"/>
        <v>0</v>
      </c>
      <c r="Y23" s="102">
        <f t="shared" si="6"/>
        <v>0</v>
      </c>
      <c r="Z23" s="102">
        <f t="shared" si="6"/>
        <v>1474.366</v>
      </c>
      <c r="AA23" s="102">
        <f t="shared" si="6"/>
        <v>0</v>
      </c>
      <c r="AB23" s="102">
        <f t="shared" si="6"/>
        <v>0</v>
      </c>
      <c r="AC23" s="102">
        <f t="shared" si="6"/>
        <v>0</v>
      </c>
      <c r="AD23" s="102">
        <f t="shared" ref="AD23:BD23" si="7">+AD4</f>
        <v>0</v>
      </c>
      <c r="AE23" s="102">
        <f t="shared" si="7"/>
        <v>0</v>
      </c>
      <c r="AF23" s="102">
        <f t="shared" si="7"/>
        <v>0</v>
      </c>
      <c r="AG23" s="102">
        <f t="shared" si="7"/>
        <v>0</v>
      </c>
      <c r="AH23" s="102">
        <f t="shared" si="7"/>
        <v>0</v>
      </c>
      <c r="AI23" s="102">
        <f t="shared" si="7"/>
        <v>0</v>
      </c>
      <c r="AJ23" s="102">
        <f t="shared" si="7"/>
        <v>0</v>
      </c>
      <c r="AK23" s="102">
        <f t="shared" si="7"/>
        <v>0</v>
      </c>
      <c r="AL23" s="102">
        <f t="shared" si="7"/>
        <v>0</v>
      </c>
      <c r="AM23" s="102">
        <f t="shared" si="7"/>
        <v>0</v>
      </c>
      <c r="AN23" s="102">
        <f t="shared" si="7"/>
        <v>0</v>
      </c>
      <c r="AO23" s="102">
        <f t="shared" si="7"/>
        <v>0</v>
      </c>
      <c r="AP23" s="102">
        <f t="shared" si="7"/>
        <v>0</v>
      </c>
      <c r="AQ23" s="102">
        <f t="shared" si="7"/>
        <v>0</v>
      </c>
      <c r="AR23" s="102">
        <f t="shared" si="7"/>
        <v>0</v>
      </c>
      <c r="AS23" s="102">
        <f t="shared" si="7"/>
        <v>0</v>
      </c>
      <c r="AT23" s="102">
        <f t="shared" si="7"/>
        <v>0</v>
      </c>
      <c r="AU23" s="102">
        <f t="shared" si="7"/>
        <v>0</v>
      </c>
      <c r="AV23" s="102">
        <f t="shared" si="7"/>
        <v>0</v>
      </c>
      <c r="AW23" s="102">
        <f t="shared" si="7"/>
        <v>0</v>
      </c>
      <c r="AX23" s="102">
        <f t="shared" si="7"/>
        <v>0</v>
      </c>
      <c r="AY23" s="102">
        <f t="shared" si="7"/>
        <v>0</v>
      </c>
      <c r="AZ23" s="102">
        <f t="shared" si="7"/>
        <v>0</v>
      </c>
      <c r="BA23" s="102">
        <f t="shared" si="7"/>
        <v>0</v>
      </c>
      <c r="BB23" s="102">
        <f t="shared" si="7"/>
        <v>0</v>
      </c>
      <c r="BC23" s="102">
        <f t="shared" si="7"/>
        <v>0</v>
      </c>
      <c r="BD23" s="102">
        <f t="shared" si="7"/>
        <v>0</v>
      </c>
      <c r="BE23" s="102"/>
      <c r="BF23" s="102"/>
      <c r="BG23" s="102"/>
      <c r="BH23" s="102"/>
      <c r="BI23" s="102"/>
    </row>
    <row r="24" spans="1:61" s="17" customFormat="1" x14ac:dyDescent="0.25">
      <c r="A24" s="16" t="s">
        <v>223</v>
      </c>
      <c r="B24" s="101">
        <f>SUM(C24:BB24)</f>
        <v>82425.353490780268</v>
      </c>
      <c r="C24" s="102">
        <f t="shared" ref="C24:BD25" si="8">+C17+C13</f>
        <v>0</v>
      </c>
      <c r="D24" s="102">
        <f t="shared" si="8"/>
        <v>0</v>
      </c>
      <c r="E24" s="102">
        <f t="shared" si="8"/>
        <v>0</v>
      </c>
      <c r="F24" s="102">
        <f t="shared" si="8"/>
        <v>0</v>
      </c>
      <c r="G24" s="102">
        <f t="shared" si="8"/>
        <v>0</v>
      </c>
      <c r="H24" s="102">
        <f t="shared" si="8"/>
        <v>0</v>
      </c>
      <c r="I24" s="102">
        <f>+I17+I13</f>
        <v>103.49952</v>
      </c>
      <c r="J24" s="102">
        <f t="shared" si="8"/>
        <v>1803.8334299999999</v>
      </c>
      <c r="K24" s="102">
        <f t="shared" si="8"/>
        <v>3012.4389099999999</v>
      </c>
      <c r="L24" s="102">
        <f t="shared" si="8"/>
        <v>1556.9666139547558</v>
      </c>
      <c r="M24" s="102">
        <f t="shared" si="8"/>
        <v>2398.9123353877517</v>
      </c>
      <c r="N24" s="102">
        <f t="shared" si="8"/>
        <v>3515.5424602448948</v>
      </c>
      <c r="O24" s="102">
        <f t="shared" si="8"/>
        <v>4199.9608204877532</v>
      </c>
      <c r="P24" s="102">
        <f t="shared" si="8"/>
        <v>2479.4620885092195</v>
      </c>
      <c r="Q24" s="102">
        <f t="shared" si="8"/>
        <v>5262.5705640340584</v>
      </c>
      <c r="R24" s="102">
        <f t="shared" si="8"/>
        <v>4548.3332345357512</v>
      </c>
      <c r="S24" s="102">
        <f t="shared" si="8"/>
        <v>4341.5894770407849</v>
      </c>
      <c r="T24" s="102">
        <f t="shared" si="8"/>
        <v>4497.0379825563232</v>
      </c>
      <c r="U24" s="102">
        <f t="shared" si="8"/>
        <v>4658.831411320507</v>
      </c>
      <c r="V24" s="102">
        <f t="shared" si="8"/>
        <v>4827.2849648632036</v>
      </c>
      <c r="W24" s="102">
        <f t="shared" si="8"/>
        <v>5002.6615137699118</v>
      </c>
      <c r="X24" s="102">
        <f t="shared" si="8"/>
        <v>4972.0251944367992</v>
      </c>
      <c r="Y24" s="102">
        <f t="shared" si="8"/>
        <v>4217.9454687822345</v>
      </c>
      <c r="Z24" s="102">
        <f t="shared" si="8"/>
        <v>3406.8424426432825</v>
      </c>
      <c r="AA24" s="102">
        <f t="shared" si="8"/>
        <v>2648.8070097855766</v>
      </c>
      <c r="AB24" s="102">
        <f t="shared" si="8"/>
        <v>2712.4400978321305</v>
      </c>
      <c r="AC24" s="102">
        <f t="shared" si="8"/>
        <v>2554.1796262316407</v>
      </c>
      <c r="AD24" s="102">
        <f t="shared" si="8"/>
        <v>741.69346022212017</v>
      </c>
      <c r="AE24" s="102">
        <f t="shared" si="8"/>
        <v>768.47277486938049</v>
      </c>
      <c r="AF24" s="102">
        <f t="shared" si="8"/>
        <v>796.2522446008237</v>
      </c>
      <c r="AG24" s="102">
        <f t="shared" si="8"/>
        <v>825.07073476228493</v>
      </c>
      <c r="AH24" s="102">
        <f t="shared" si="8"/>
        <v>854.96864583268984</v>
      </c>
      <c r="AI24" s="102">
        <f t="shared" si="8"/>
        <v>885.98803238097366</v>
      </c>
      <c r="AJ24" s="102">
        <f t="shared" si="8"/>
        <v>918.17267737213012</v>
      </c>
      <c r="AK24" s="102">
        <f t="shared" si="8"/>
        <v>951.5681219180085</v>
      </c>
      <c r="AL24" s="102">
        <f t="shared" si="8"/>
        <v>847.12976708404824</v>
      </c>
      <c r="AM24" s="102">
        <f t="shared" si="8"/>
        <v>838.16608597121103</v>
      </c>
      <c r="AN24" s="102">
        <f t="shared" si="8"/>
        <v>395.7579325334853</v>
      </c>
      <c r="AO24" s="102">
        <f t="shared" si="8"/>
        <v>88.280872394426467</v>
      </c>
      <c r="AP24" s="102">
        <f t="shared" si="8"/>
        <v>66.041571111200014</v>
      </c>
      <c r="AQ24" s="102">
        <f t="shared" si="8"/>
        <v>69.608496102258826</v>
      </c>
      <c r="AR24" s="102">
        <f t="shared" si="8"/>
        <v>73.368060020329409</v>
      </c>
      <c r="AS24" s="102">
        <f t="shared" si="8"/>
        <v>77.330687500305885</v>
      </c>
      <c r="AT24" s="102">
        <f t="shared" si="8"/>
        <v>81.507332214294124</v>
      </c>
      <c r="AU24" s="102">
        <f t="shared" si="8"/>
        <v>85.909563599023528</v>
      </c>
      <c r="AV24" s="102">
        <f t="shared" si="8"/>
        <v>90.549566855847061</v>
      </c>
      <c r="AW24" s="102">
        <f t="shared" si="8"/>
        <v>95.440160296223539</v>
      </c>
      <c r="AX24" s="102">
        <f t="shared" si="8"/>
        <v>100.59489941461177</v>
      </c>
      <c r="AY24" s="102">
        <f t="shared" si="8"/>
        <v>52.316637308011771</v>
      </c>
      <c r="AZ24" s="102">
        <f t="shared" si="8"/>
        <v>0</v>
      </c>
      <c r="BA24" s="102">
        <f t="shared" si="8"/>
        <v>0</v>
      </c>
      <c r="BB24" s="102">
        <f t="shared" si="8"/>
        <v>0</v>
      </c>
      <c r="BC24" s="102">
        <f t="shared" si="8"/>
        <v>0</v>
      </c>
      <c r="BD24" s="102">
        <f t="shared" si="8"/>
        <v>0</v>
      </c>
      <c r="BE24" s="102"/>
      <c r="BF24" s="102"/>
      <c r="BG24" s="102"/>
      <c r="BH24" s="102"/>
      <c r="BI24" s="102"/>
    </row>
    <row r="25" spans="1:61" s="17" customFormat="1" x14ac:dyDescent="0.25">
      <c r="A25" s="16" t="s">
        <v>224</v>
      </c>
      <c r="B25" s="101">
        <f>SUM(C25:BB25)</f>
        <v>34171.141274435642</v>
      </c>
      <c r="C25" s="102">
        <f t="shared" si="8"/>
        <v>0</v>
      </c>
      <c r="D25" s="102">
        <f t="shared" si="8"/>
        <v>0</v>
      </c>
      <c r="E25" s="102">
        <f t="shared" si="8"/>
        <v>0</v>
      </c>
      <c r="F25" s="102">
        <f t="shared" si="8"/>
        <v>0</v>
      </c>
      <c r="G25" s="102">
        <f t="shared" si="8"/>
        <v>0</v>
      </c>
      <c r="H25" s="102">
        <f t="shared" si="8"/>
        <v>0</v>
      </c>
      <c r="I25" s="102">
        <f t="shared" si="8"/>
        <v>119.18186999999999</v>
      </c>
      <c r="J25" s="102">
        <f t="shared" si="8"/>
        <v>616.26769999999999</v>
      </c>
      <c r="K25" s="102">
        <f t="shared" si="8"/>
        <v>2427.0086700000002</v>
      </c>
      <c r="L25" s="102">
        <f t="shared" si="8"/>
        <v>1557.8127779748763</v>
      </c>
      <c r="M25" s="102">
        <f t="shared" si="8"/>
        <v>4001.9115794034478</v>
      </c>
      <c r="N25" s="102">
        <f t="shared" si="8"/>
        <v>2718.7948085334247</v>
      </c>
      <c r="O25" s="102">
        <f t="shared" si="8"/>
        <v>2760.176024347179</v>
      </c>
      <c r="P25" s="102">
        <f t="shared" si="8"/>
        <v>2727.4151558608773</v>
      </c>
      <c r="Q25" s="102">
        <f t="shared" si="8"/>
        <v>2629.0131068557212</v>
      </c>
      <c r="R25" s="102">
        <f t="shared" si="8"/>
        <v>1834.8558537521888</v>
      </c>
      <c r="S25" s="102">
        <f t="shared" si="8"/>
        <v>1681.4353255754918</v>
      </c>
      <c r="T25" s="102">
        <f t="shared" si="8"/>
        <v>1525.4306390935453</v>
      </c>
      <c r="U25" s="102">
        <f t="shared" si="8"/>
        <v>1363.0482721531785</v>
      </c>
      <c r="V25" s="102">
        <f t="shared" si="8"/>
        <v>1193.9954510234372</v>
      </c>
      <c r="W25" s="102">
        <f t="shared" si="8"/>
        <v>1017.9845311617244</v>
      </c>
      <c r="X25" s="102">
        <f t="shared" si="8"/>
        <v>835.1607882503065</v>
      </c>
      <c r="Y25" s="102">
        <f t="shared" si="8"/>
        <v>662.0676734220599</v>
      </c>
      <c r="Z25" s="102">
        <f>+Z18+Z14</f>
        <v>603.32800109501977</v>
      </c>
      <c r="AA25" s="102">
        <f t="shared" si="8"/>
        <v>540.43184873964674</v>
      </c>
      <c r="AB25" s="102">
        <f t="shared" si="8"/>
        <v>476.61064746261087</v>
      </c>
      <c r="AC25" s="102">
        <f t="shared" si="8"/>
        <v>411.09623089371519</v>
      </c>
      <c r="AD25" s="102">
        <f t="shared" si="8"/>
        <v>348.30449888562509</v>
      </c>
      <c r="AE25" s="102">
        <f t="shared" si="8"/>
        <v>321.31279092620895</v>
      </c>
      <c r="AF25" s="102">
        <f t="shared" si="8"/>
        <v>293.31212208341356</v>
      </c>
      <c r="AG25" s="102">
        <f t="shared" si="8"/>
        <v>264.26328188221214</v>
      </c>
      <c r="AH25" s="102">
        <f t="shared" si="8"/>
        <v>234.12544880818086</v>
      </c>
      <c r="AI25" s="102">
        <f t="shared" si="8"/>
        <v>202.85614962277913</v>
      </c>
      <c r="AJ25" s="102">
        <f t="shared" si="8"/>
        <v>170.41121963256344</v>
      </c>
      <c r="AK25" s="102">
        <f t="shared" si="8"/>
        <v>136.74462785912357</v>
      </c>
      <c r="AL25" s="102">
        <f t="shared" si="8"/>
        <v>105.38996278952882</v>
      </c>
      <c r="AM25" s="102">
        <f t="shared" si="8"/>
        <v>76.652720799092521</v>
      </c>
      <c r="AN25" s="102">
        <f t="shared" si="8"/>
        <v>54.897471014367653</v>
      </c>
      <c r="AO25" s="102">
        <f t="shared" si="8"/>
        <v>44.487528484385294</v>
      </c>
      <c r="AP25" s="102">
        <f t="shared" si="8"/>
        <v>40.340266889858825</v>
      </c>
      <c r="AQ25" s="102">
        <f t="shared" si="8"/>
        <v>36.717151208717645</v>
      </c>
      <c r="AR25" s="102">
        <f t="shared" si="8"/>
        <v>32.89836114115294</v>
      </c>
      <c r="AS25" s="102">
        <f t="shared" si="8"/>
        <v>28.873307270188231</v>
      </c>
      <c r="AT25" s="102">
        <f t="shared" si="8"/>
        <v>24.630853796152945</v>
      </c>
      <c r="AU25" s="102">
        <f t="shared" si="8"/>
        <v>20.159266500235297</v>
      </c>
      <c r="AV25" s="102">
        <f t="shared" si="8"/>
        <v>15.446169380776473</v>
      </c>
      <c r="AW25" s="102">
        <f t="shared" si="8"/>
        <v>10.478527307788235</v>
      </c>
      <c r="AX25" s="102">
        <f t="shared" si="8"/>
        <v>5.2425766410235299</v>
      </c>
      <c r="AY25" s="102">
        <f t="shared" si="8"/>
        <v>0.57001591382352945</v>
      </c>
      <c r="AZ25" s="102">
        <f t="shared" si="8"/>
        <v>0</v>
      </c>
      <c r="BA25" s="102">
        <f t="shared" si="8"/>
        <v>0</v>
      </c>
      <c r="BB25" s="102">
        <f t="shared" si="8"/>
        <v>0</v>
      </c>
      <c r="BC25" s="102">
        <f t="shared" si="8"/>
        <v>0</v>
      </c>
      <c r="BD25" s="102">
        <f t="shared" si="8"/>
        <v>0</v>
      </c>
      <c r="BE25" s="102"/>
      <c r="BF25" s="102"/>
      <c r="BG25" s="102"/>
      <c r="BH25" s="102"/>
      <c r="BI25" s="102"/>
    </row>
    <row r="26" spans="1:61" s="17" customFormat="1" x14ac:dyDescent="0.25">
      <c r="A26" s="16" t="s">
        <v>225</v>
      </c>
      <c r="B26" s="101">
        <f>SUM(C26:BB26)</f>
        <v>116596.49476521587</v>
      </c>
      <c r="C26" s="102">
        <f>C24+C25</f>
        <v>0</v>
      </c>
      <c r="D26" s="102">
        <f t="shared" ref="D26:U26" si="9">D24+D25</f>
        <v>0</v>
      </c>
      <c r="E26" s="102">
        <f t="shared" si="9"/>
        <v>0</v>
      </c>
      <c r="F26" s="102">
        <f t="shared" si="9"/>
        <v>0</v>
      </c>
      <c r="G26" s="102">
        <f t="shared" si="9"/>
        <v>0</v>
      </c>
      <c r="H26" s="102">
        <f t="shared" si="9"/>
        <v>0</v>
      </c>
      <c r="I26" s="102">
        <f t="shared" si="9"/>
        <v>222.68138999999999</v>
      </c>
      <c r="J26" s="102">
        <f t="shared" si="9"/>
        <v>2420.10113</v>
      </c>
      <c r="K26" s="102">
        <f t="shared" si="9"/>
        <v>5439.44758</v>
      </c>
      <c r="L26" s="102">
        <f t="shared" si="9"/>
        <v>3114.7793919296319</v>
      </c>
      <c r="M26" s="102">
        <f t="shared" si="9"/>
        <v>6400.8239147911991</v>
      </c>
      <c r="N26" s="102">
        <f t="shared" si="9"/>
        <v>6234.3372687783194</v>
      </c>
      <c r="O26" s="102">
        <f t="shared" si="9"/>
        <v>6960.1368448349322</v>
      </c>
      <c r="P26" s="102">
        <f t="shared" si="9"/>
        <v>5206.8772443700964</v>
      </c>
      <c r="Q26" s="102">
        <f t="shared" si="9"/>
        <v>7891.5836708897796</v>
      </c>
      <c r="R26" s="102">
        <f t="shared" si="9"/>
        <v>6383.1890882879397</v>
      </c>
      <c r="S26" s="102">
        <f t="shared" si="9"/>
        <v>6023.0248026162772</v>
      </c>
      <c r="T26" s="102">
        <f t="shared" si="9"/>
        <v>6022.4686216498685</v>
      </c>
      <c r="U26" s="102">
        <f t="shared" si="9"/>
        <v>6021.8796834736859</v>
      </c>
      <c r="V26" s="102">
        <f>V24+V25</f>
        <v>6021.2804158866411</v>
      </c>
      <c r="W26" s="102">
        <f>W24+W25</f>
        <v>6020.6460449316364</v>
      </c>
      <c r="X26" s="102">
        <f t="shared" ref="X26:AT26" si="10">X24+X25</f>
        <v>5807.1859826871059</v>
      </c>
      <c r="Y26" s="102">
        <f t="shared" si="10"/>
        <v>4880.0131422042941</v>
      </c>
      <c r="Z26" s="102">
        <f t="shared" si="10"/>
        <v>4010.1704437383023</v>
      </c>
      <c r="AA26" s="102">
        <f t="shared" si="10"/>
        <v>3189.2388585252233</v>
      </c>
      <c r="AB26" s="102">
        <f t="shared" si="10"/>
        <v>3189.0507452947413</v>
      </c>
      <c r="AC26" s="102">
        <f t="shared" si="10"/>
        <v>2965.2758571253557</v>
      </c>
      <c r="AD26" s="102">
        <f t="shared" si="10"/>
        <v>1089.9979591077454</v>
      </c>
      <c r="AE26" s="102">
        <f t="shared" si="10"/>
        <v>1089.7855657955895</v>
      </c>
      <c r="AF26" s="102">
        <f t="shared" si="10"/>
        <v>1089.5643666842373</v>
      </c>
      <c r="AG26" s="102">
        <f t="shared" si="10"/>
        <v>1089.3340166444971</v>
      </c>
      <c r="AH26" s="102">
        <f t="shared" si="10"/>
        <v>1089.0940946408707</v>
      </c>
      <c r="AI26" s="102">
        <f t="shared" si="10"/>
        <v>1088.8441820037528</v>
      </c>
      <c r="AJ26" s="102">
        <f t="shared" si="10"/>
        <v>1088.5838970046937</v>
      </c>
      <c r="AK26" s="102">
        <f t="shared" si="10"/>
        <v>1088.312749777132</v>
      </c>
      <c r="AL26" s="102">
        <f t="shared" si="10"/>
        <v>952.51972987357703</v>
      </c>
      <c r="AM26" s="102">
        <f t="shared" si="10"/>
        <v>914.81880677030358</v>
      </c>
      <c r="AN26" s="102">
        <f t="shared" si="10"/>
        <v>450.65540354785298</v>
      </c>
      <c r="AO26" s="102">
        <f t="shared" si="10"/>
        <v>132.76840087881175</v>
      </c>
      <c r="AP26" s="102">
        <f t="shared" si="10"/>
        <v>106.38183800105884</v>
      </c>
      <c r="AQ26" s="102">
        <f t="shared" si="10"/>
        <v>106.32564731097648</v>
      </c>
      <c r="AR26" s="102">
        <f t="shared" si="10"/>
        <v>106.26642116148236</v>
      </c>
      <c r="AS26" s="102">
        <f t="shared" si="10"/>
        <v>106.20399477049412</v>
      </c>
      <c r="AT26" s="102">
        <f t="shared" si="10"/>
        <v>106.13818601044707</v>
      </c>
      <c r="AU26" s="102">
        <f>AU24+AU25</f>
        <v>106.06883009925883</v>
      </c>
      <c r="AV26" s="102">
        <f>AV24+AV25</f>
        <v>105.99573623662353</v>
      </c>
      <c r="AW26" s="102">
        <f>AW24+AW25</f>
        <v>105.91868760401178</v>
      </c>
      <c r="AX26" s="102">
        <f t="shared" ref="AX26:BD26" si="11">AX24+AX25</f>
        <v>105.83747605563531</v>
      </c>
      <c r="AY26" s="102">
        <f t="shared" si="11"/>
        <v>52.886653221835303</v>
      </c>
      <c r="AZ26" s="102">
        <f t="shared" si="11"/>
        <v>0</v>
      </c>
      <c r="BA26" s="102">
        <f t="shared" si="11"/>
        <v>0</v>
      </c>
      <c r="BB26" s="102">
        <f t="shared" si="11"/>
        <v>0</v>
      </c>
      <c r="BC26" s="102">
        <f t="shared" si="11"/>
        <v>0</v>
      </c>
      <c r="BD26" s="102">
        <f t="shared" si="11"/>
        <v>0</v>
      </c>
      <c r="BE26" s="102"/>
      <c r="BF26" s="102"/>
      <c r="BG26" s="102"/>
      <c r="BH26" s="102"/>
      <c r="BI26" s="102"/>
    </row>
    <row r="27" spans="1:61" s="17" customFormat="1" x14ac:dyDescent="0.25">
      <c r="A27" s="16" t="s">
        <v>16</v>
      </c>
      <c r="B27" s="101"/>
      <c r="C27" s="102">
        <f>C23-C24</f>
        <v>0</v>
      </c>
      <c r="D27" s="102">
        <f>C27+D23-D24</f>
        <v>0</v>
      </c>
      <c r="E27" s="102">
        <f>D27+E23-E24</f>
        <v>0</v>
      </c>
      <c r="F27" s="102">
        <f t="shared" ref="F27:BD27" si="12">E27+F23-F24</f>
        <v>0</v>
      </c>
      <c r="G27" s="102">
        <f t="shared" si="12"/>
        <v>0</v>
      </c>
      <c r="H27" s="102">
        <f t="shared" si="12"/>
        <v>0</v>
      </c>
      <c r="I27" s="102">
        <f t="shared" si="12"/>
        <v>17609.578529999999</v>
      </c>
      <c r="J27" s="102">
        <f t="shared" si="12"/>
        <v>44508.684459999968</v>
      </c>
      <c r="K27" s="102">
        <f t="shared" si="12"/>
        <v>59619.228139999934</v>
      </c>
      <c r="L27" s="102">
        <f t="shared" si="12"/>
        <v>60062.261526045193</v>
      </c>
      <c r="M27" s="102">
        <f t="shared" si="12"/>
        <v>58263.349190657442</v>
      </c>
      <c r="N27" s="102">
        <f t="shared" si="12"/>
        <v>61124.806730412514</v>
      </c>
      <c r="O27" s="102">
        <f t="shared" si="12"/>
        <v>63940.84590992485</v>
      </c>
      <c r="P27" s="102">
        <f t="shared" si="12"/>
        <v>61880.383821415628</v>
      </c>
      <c r="Q27" s="102">
        <f t="shared" si="12"/>
        <v>56617.813257381567</v>
      </c>
      <c r="R27" s="102">
        <f t="shared" si="12"/>
        <v>52069.480022845819</v>
      </c>
      <c r="S27" s="102">
        <f t="shared" si="12"/>
        <v>47727.890545805036</v>
      </c>
      <c r="T27" s="102">
        <f t="shared" si="12"/>
        <v>43230.852563248714</v>
      </c>
      <c r="U27" s="102">
        <f t="shared" si="12"/>
        <v>38572.021151928209</v>
      </c>
      <c r="V27" s="102">
        <f t="shared" si="12"/>
        <v>33744.736187065006</v>
      </c>
      <c r="W27" s="102">
        <f t="shared" si="12"/>
        <v>28742.074673295094</v>
      </c>
      <c r="X27" s="102">
        <f t="shared" si="12"/>
        <v>23770.049478858295</v>
      </c>
      <c r="Y27" s="102">
        <f t="shared" si="12"/>
        <v>19552.104010076058</v>
      </c>
      <c r="Z27" s="102">
        <f t="shared" si="12"/>
        <v>17619.627567432777</v>
      </c>
      <c r="AA27" s="102">
        <f t="shared" si="12"/>
        <v>14970.820557647201</v>
      </c>
      <c r="AB27" s="102">
        <f t="shared" si="12"/>
        <v>12258.380459815071</v>
      </c>
      <c r="AC27" s="102">
        <f t="shared" si="12"/>
        <v>9704.2008335834307</v>
      </c>
      <c r="AD27" s="102">
        <f t="shared" si="12"/>
        <v>8962.5073733613099</v>
      </c>
      <c r="AE27" s="102">
        <f t="shared" si="12"/>
        <v>8194.0345984919295</v>
      </c>
      <c r="AF27" s="102">
        <f t="shared" si="12"/>
        <v>7397.7823538911061</v>
      </c>
      <c r="AG27" s="102">
        <f t="shared" si="12"/>
        <v>6572.7116191288214</v>
      </c>
      <c r="AH27" s="102">
        <f t="shared" si="12"/>
        <v>5717.7429732961318</v>
      </c>
      <c r="AI27" s="102">
        <f t="shared" si="12"/>
        <v>4831.7549409151579</v>
      </c>
      <c r="AJ27" s="102">
        <f t="shared" si="12"/>
        <v>3913.5822635430277</v>
      </c>
      <c r="AK27" s="102">
        <f t="shared" si="12"/>
        <v>2962.014141625019</v>
      </c>
      <c r="AL27" s="102">
        <f t="shared" si="12"/>
        <v>2114.8843745409708</v>
      </c>
      <c r="AM27" s="102">
        <f t="shared" si="12"/>
        <v>1276.7182885697598</v>
      </c>
      <c r="AN27" s="102">
        <f t="shared" si="12"/>
        <v>880.96035603627456</v>
      </c>
      <c r="AO27" s="102">
        <f t="shared" si="12"/>
        <v>792.67948364184804</v>
      </c>
      <c r="AP27" s="102">
        <f t="shared" si="12"/>
        <v>726.63791253064801</v>
      </c>
      <c r="AQ27" s="102">
        <f t="shared" si="12"/>
        <v>657.02941642838914</v>
      </c>
      <c r="AR27" s="102">
        <f t="shared" si="12"/>
        <v>583.66135640805976</v>
      </c>
      <c r="AS27" s="102">
        <f t="shared" si="12"/>
        <v>506.33066890775387</v>
      </c>
      <c r="AT27" s="102">
        <f t="shared" si="12"/>
        <v>424.82333669345974</v>
      </c>
      <c r="AU27" s="102">
        <f t="shared" si="12"/>
        <v>338.91377309443624</v>
      </c>
      <c r="AV27" s="102">
        <f t="shared" si="12"/>
        <v>248.36420623858919</v>
      </c>
      <c r="AW27" s="102">
        <f t="shared" si="12"/>
        <v>152.92404594236564</v>
      </c>
      <c r="AX27" s="102">
        <f t="shared" si="12"/>
        <v>52.329146527753863</v>
      </c>
      <c r="AY27" s="102">
        <f t="shared" si="12"/>
        <v>1.2509219742092625E-2</v>
      </c>
      <c r="AZ27" s="102">
        <f t="shared" si="12"/>
        <v>1.2509219742092625E-2</v>
      </c>
      <c r="BA27" s="102">
        <f t="shared" si="12"/>
        <v>1.2509219742092625E-2</v>
      </c>
      <c r="BB27" s="102">
        <f t="shared" si="12"/>
        <v>1.2509219742092625E-2</v>
      </c>
      <c r="BC27" s="102">
        <f t="shared" si="12"/>
        <v>1.2509219742092625E-2</v>
      </c>
      <c r="BD27" s="102">
        <f t="shared" si="12"/>
        <v>1.2509219742092625E-2</v>
      </c>
      <c r="BE27" s="102"/>
      <c r="BF27" s="102"/>
      <c r="BG27" s="102"/>
      <c r="BH27" s="102"/>
      <c r="BI27" s="102"/>
    </row>
    <row r="28" spans="1:61" s="17" customFormat="1" hidden="1" outlineLevel="1" x14ac:dyDescent="0.25">
      <c r="A28" s="16"/>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row>
    <row r="29" spans="1:61" hidden="1" outlineLevel="1" x14ac:dyDescent="0.25">
      <c r="A29" s="20" t="s">
        <v>226</v>
      </c>
      <c r="B29" s="101">
        <f t="shared" ref="B29:B47" si="13">SUM(C29:BB29)</f>
        <v>367.64</v>
      </c>
      <c r="C29" s="102">
        <v>0</v>
      </c>
      <c r="D29" s="102"/>
      <c r="E29" s="102"/>
      <c r="F29" s="102"/>
      <c r="G29" s="102"/>
      <c r="H29" s="102"/>
      <c r="I29" s="102"/>
      <c r="J29" s="102"/>
      <c r="K29" s="102"/>
      <c r="L29" s="102"/>
      <c r="M29" s="102"/>
      <c r="N29" s="102"/>
      <c r="O29" s="102"/>
      <c r="P29" s="102"/>
      <c r="Q29" s="102"/>
      <c r="R29" s="102"/>
      <c r="S29" s="102"/>
      <c r="T29" s="102"/>
      <c r="U29" s="102"/>
      <c r="V29" s="102"/>
      <c r="W29" s="102"/>
      <c r="X29" s="102"/>
      <c r="Y29" s="102"/>
      <c r="Z29" s="102">
        <f>+Z$8</f>
        <v>367.64</v>
      </c>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row>
    <row r="30" spans="1:61" s="17" customFormat="1" hidden="1" outlineLevel="1" x14ac:dyDescent="0.25">
      <c r="A30" s="16" t="s">
        <v>163</v>
      </c>
      <c r="B30" s="101">
        <f t="shared" si="13"/>
        <v>189.82118602637249</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f>+Z34-Z32</f>
        <v>3.5101491736429686</v>
      </c>
      <c r="AA30" s="102">
        <f>+AA34-AA32</f>
        <v>3.606591692238533</v>
      </c>
      <c r="AB30" s="102">
        <f t="shared" ref="AB30:AN31" si="14">+AB34-AB32</f>
        <v>3.8074989043404379</v>
      </c>
      <c r="AC30" s="102">
        <f t="shared" si="14"/>
        <v>4.0195977653227608</v>
      </c>
      <c r="AD30" s="102">
        <f t="shared" si="14"/>
        <v>4.2435117122605153</v>
      </c>
      <c r="AE30" s="102">
        <f t="shared" si="14"/>
        <v>4.4798989111404879</v>
      </c>
      <c r="AF30" s="102">
        <f t="shared" si="14"/>
        <v>4.7294541914547281</v>
      </c>
      <c r="AG30" s="102">
        <f t="shared" si="14"/>
        <v>4.992911088561673</v>
      </c>
      <c r="AH30" s="102">
        <f t="shared" si="14"/>
        <v>5.2710439998181204</v>
      </c>
      <c r="AI30" s="102">
        <f t="shared" si="14"/>
        <v>5.5646704608197659</v>
      </c>
      <c r="AJ30" s="102">
        <f t="shared" si="14"/>
        <v>5.874653548440981</v>
      </c>
      <c r="AK30" s="102">
        <f t="shared" si="14"/>
        <v>6.2019044177372722</v>
      </c>
      <c r="AL30" s="102">
        <f t="shared" si="14"/>
        <v>6.5473849801673154</v>
      </c>
      <c r="AM30" s="102">
        <f t="shared" si="14"/>
        <v>6.9121107310068455</v>
      </c>
      <c r="AN30" s="102">
        <f t="shared" si="14"/>
        <v>7.2971537342652262</v>
      </c>
      <c r="AO30" s="102">
        <f t="shared" ref="AO30:AW30" si="15">+AO34-AO32</f>
        <v>7.7036457738784749</v>
      </c>
      <c r="AP30" s="102">
        <f t="shared" si="15"/>
        <v>8.1327816804412478</v>
      </c>
      <c r="AQ30" s="102">
        <f t="shared" si="15"/>
        <v>8.5858228432563148</v>
      </c>
      <c r="AR30" s="102">
        <f t="shared" si="15"/>
        <v>9.0641009180246961</v>
      </c>
      <c r="AS30" s="102">
        <f t="shared" si="15"/>
        <v>9.5690217410747795</v>
      </c>
      <c r="AT30" s="102">
        <f t="shared" si="15"/>
        <v>10.102069461635743</v>
      </c>
      <c r="AU30" s="102">
        <f t="shared" si="15"/>
        <v>10.664810904301609</v>
      </c>
      <c r="AV30" s="102">
        <f t="shared" si="15"/>
        <v>11.258900174508781</v>
      </c>
      <c r="AW30" s="102">
        <f t="shared" si="15"/>
        <v>11.886083520564306</v>
      </c>
      <c r="AX30" s="102">
        <f t="shared" ref="AX30:AY30" si="16">+AX34-AX32</f>
        <v>12.548204466516133</v>
      </c>
      <c r="AY30" s="102">
        <f t="shared" si="16"/>
        <v>13.247209230952802</v>
      </c>
      <c r="AZ30" s="102"/>
      <c r="BA30" s="102"/>
      <c r="BB30" s="102"/>
      <c r="BC30" s="102"/>
      <c r="BD30" s="102"/>
      <c r="BE30" s="102"/>
      <c r="BF30" s="102"/>
      <c r="BG30" s="102"/>
      <c r="BH30" s="102"/>
      <c r="BI30" s="102"/>
    </row>
    <row r="31" spans="1:61" s="17" customFormat="1" hidden="1" outlineLevel="1" x14ac:dyDescent="0.25">
      <c r="A31" s="16" t="s">
        <v>163</v>
      </c>
      <c r="B31" s="101">
        <f t="shared" si="13"/>
        <v>177.81881397362758</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f>+AA35-AA33</f>
        <v>3.7056840011800158</v>
      </c>
      <c r="AB31" s="102">
        <f t="shared" si="14"/>
        <v>3.9121112059034928</v>
      </c>
      <c r="AC31" s="102">
        <f t="shared" si="14"/>
        <v>4.1300375537909257</v>
      </c>
      <c r="AD31" s="102">
        <f t="shared" si="14"/>
        <v>4.3601036110587774</v>
      </c>
      <c r="AE31" s="102">
        <f t="shared" si="14"/>
        <v>4.6029856270237097</v>
      </c>
      <c r="AF31" s="102">
        <f t="shared" si="14"/>
        <v>4.8593975218496777</v>
      </c>
      <c r="AG31" s="102">
        <f t="shared" si="14"/>
        <v>5.1300929850236017</v>
      </c>
      <c r="AH31" s="102">
        <f t="shared" si="14"/>
        <v>5.4158676907277901</v>
      </c>
      <c r="AI31" s="102">
        <f t="shared" si="14"/>
        <v>5.7175616366209416</v>
      </c>
      <c r="AJ31" s="102">
        <f t="shared" si="14"/>
        <v>6.0360616129022455</v>
      </c>
      <c r="AK31" s="102">
        <f t="shared" si="14"/>
        <v>6.3723038089160768</v>
      </c>
      <c r="AL31" s="102">
        <f t="shared" si="14"/>
        <v>6.7272765649590731</v>
      </c>
      <c r="AM31" s="102">
        <f t="shared" si="14"/>
        <v>7.1020232773781684</v>
      </c>
      <c r="AN31" s="102">
        <f t="shared" si="14"/>
        <v>7.4976454654987421</v>
      </c>
      <c r="AO31" s="102">
        <f t="shared" ref="AO31:AW31" si="17">+AO35-AO33</f>
        <v>7.9153060093977103</v>
      </c>
      <c r="AP31" s="102">
        <f t="shared" si="17"/>
        <v>8.3562325680385996</v>
      </c>
      <c r="AQ31" s="102">
        <f t="shared" si="17"/>
        <v>8.8217211878157293</v>
      </c>
      <c r="AR31" s="102">
        <f t="shared" si="17"/>
        <v>9.3131401121143984</v>
      </c>
      <c r="AS31" s="102">
        <f t="shared" si="17"/>
        <v>9.8319338030847234</v>
      </c>
      <c r="AT31" s="102">
        <f t="shared" si="17"/>
        <v>10.379627187450673</v>
      </c>
      <c r="AU31" s="102">
        <f t="shared" si="17"/>
        <v>10.957830138834263</v>
      </c>
      <c r="AV31" s="102">
        <f t="shared" si="17"/>
        <v>11.568242209770135</v>
      </c>
      <c r="AW31" s="102">
        <f t="shared" si="17"/>
        <v>12.212657627319651</v>
      </c>
      <c r="AX31" s="102">
        <f t="shared" ref="AX31:AY31" si="18">+AX35-AX33</f>
        <v>12.892970566968486</v>
      </c>
      <c r="AY31" s="102">
        <f t="shared" si="18"/>
        <v>5.9543315463391383E-15</v>
      </c>
      <c r="AZ31" s="102"/>
      <c r="BA31" s="102"/>
      <c r="BB31" s="102"/>
      <c r="BC31" s="102"/>
      <c r="BD31" s="102"/>
      <c r="BE31" s="102"/>
      <c r="BF31" s="102"/>
      <c r="BG31" s="102"/>
      <c r="BH31" s="102"/>
      <c r="BI31" s="102"/>
    </row>
    <row r="32" spans="1:61" s="17" customFormat="1" hidden="1" outlineLevel="1" x14ac:dyDescent="0.25">
      <c r="A32" s="16" t="s">
        <v>164</v>
      </c>
      <c r="B32" s="101">
        <f t="shared" si="13"/>
        <v>164.06951270167795</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f>+Z29*($Z$9/2)</f>
        <v>10.101031546666665</v>
      </c>
      <c r="AA32" s="102">
        <f t="shared" ref="AA32:AN32" si="19">+Z37*$Z$9/2</f>
        <v>10.0045890280711</v>
      </c>
      <c r="AB32" s="102">
        <f t="shared" si="19"/>
        <v>9.8036818159691954</v>
      </c>
      <c r="AC32" s="102">
        <f t="shared" si="19"/>
        <v>9.5915829549868725</v>
      </c>
      <c r="AD32" s="102">
        <f t="shared" si="19"/>
        <v>9.3676690080491181</v>
      </c>
      <c r="AE32" s="102">
        <f t="shared" si="19"/>
        <v>9.1312818091691454</v>
      </c>
      <c r="AF32" s="102">
        <f t="shared" si="19"/>
        <v>8.8817265288549052</v>
      </c>
      <c r="AG32" s="102">
        <f t="shared" si="19"/>
        <v>8.6182696317479603</v>
      </c>
      <c r="AH32" s="102">
        <f t="shared" si="19"/>
        <v>8.3401367204915129</v>
      </c>
      <c r="AI32" s="102">
        <f t="shared" si="19"/>
        <v>8.0465102594898674</v>
      </c>
      <c r="AJ32" s="102">
        <f t="shared" si="19"/>
        <v>7.7365271718686524</v>
      </c>
      <c r="AK32" s="102">
        <f t="shared" si="19"/>
        <v>7.4092763025723611</v>
      </c>
      <c r="AL32" s="102">
        <f t="shared" si="19"/>
        <v>7.0637957401423179</v>
      </c>
      <c r="AM32" s="102">
        <f t="shared" si="19"/>
        <v>6.6990699893027879</v>
      </c>
      <c r="AN32" s="102">
        <f t="shared" si="19"/>
        <v>6.3140269860444072</v>
      </c>
      <c r="AO32" s="102">
        <f t="shared" ref="AO32" si="20">+AN37*$Z$9/2</f>
        <v>5.9075349464311584</v>
      </c>
      <c r="AP32" s="102">
        <f t="shared" ref="AP32" si="21">+AO37*$Z$9/2</f>
        <v>5.4783990398683846</v>
      </c>
      <c r="AQ32" s="102">
        <f t="shared" ref="AQ32" si="22">+AP37*$Z$9/2</f>
        <v>5.0253578770533185</v>
      </c>
      <c r="AR32" s="102">
        <f t="shared" ref="AR32" si="23">+AQ37*$Z$9/2</f>
        <v>4.5470798022849364</v>
      </c>
      <c r="AS32" s="102">
        <f t="shared" ref="AS32" si="24">+AR37*$Z$9/2</f>
        <v>4.0421589792348538</v>
      </c>
      <c r="AT32" s="102">
        <f t="shared" ref="AT32" si="25">+AS37*$Z$9/2</f>
        <v>3.5091112586738902</v>
      </c>
      <c r="AU32" s="102">
        <f t="shared" ref="AU32" si="26">+AT37*$Z$9/2</f>
        <v>2.9463698160080249</v>
      </c>
      <c r="AV32" s="102">
        <f t="shared" ref="AV32" si="27">+AU37*$Z$9/2</f>
        <v>2.3522805458008524</v>
      </c>
      <c r="AW32" s="102">
        <f t="shared" ref="AW32" si="28">+AV37*$Z$9/2</f>
        <v>1.7250971997453277</v>
      </c>
      <c r="AX32" s="102">
        <f t="shared" ref="AX32" si="29">+AW37*$Z$9/2</f>
        <v>1.0629762537935001</v>
      </c>
      <c r="AY32" s="102">
        <f t="shared" ref="AY32" si="30">+AX37*$Z$9/2</f>
        <v>0.36397148935683254</v>
      </c>
      <c r="AZ32" s="102"/>
      <c r="BA32" s="102"/>
      <c r="BB32" s="102"/>
      <c r="BC32" s="102"/>
      <c r="BD32" s="102"/>
      <c r="BE32" s="102"/>
      <c r="BF32" s="102"/>
      <c r="BG32" s="102"/>
      <c r="BH32" s="102"/>
      <c r="BI32" s="102"/>
    </row>
    <row r="33" spans="1:61" s="17" customFormat="1" hidden="1" outlineLevel="1" x14ac:dyDescent="0.25">
      <c r="A33" s="16" t="s">
        <v>164</v>
      </c>
      <c r="B33" s="101">
        <f t="shared" si="13"/>
        <v>148.84952331380362</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f t="shared" ref="AA33:AN33" si="31">+AA36*$Z$9/2</f>
        <v>9.9054967191296175</v>
      </c>
      <c r="AB33" s="102">
        <f t="shared" si="31"/>
        <v>9.6990695144061405</v>
      </c>
      <c r="AC33" s="102">
        <f t="shared" si="31"/>
        <v>9.4811431665187076</v>
      </c>
      <c r="AD33" s="102">
        <f t="shared" si="31"/>
        <v>9.2510771092508559</v>
      </c>
      <c r="AE33" s="102">
        <f t="shared" si="31"/>
        <v>9.0081950932859236</v>
      </c>
      <c r="AF33" s="102">
        <f t="shared" si="31"/>
        <v>8.7517831984599557</v>
      </c>
      <c r="AG33" s="102">
        <f t="shared" si="31"/>
        <v>8.4810877352860317</v>
      </c>
      <c r="AH33" s="102">
        <f t="shared" si="31"/>
        <v>8.1953130295818433</v>
      </c>
      <c r="AI33" s="102">
        <f t="shared" si="31"/>
        <v>7.8936190836886917</v>
      </c>
      <c r="AJ33" s="102">
        <f t="shared" si="31"/>
        <v>7.5751191074073878</v>
      </c>
      <c r="AK33" s="102">
        <f t="shared" si="31"/>
        <v>7.2388769113935565</v>
      </c>
      <c r="AL33" s="102">
        <f t="shared" si="31"/>
        <v>6.8839041553505602</v>
      </c>
      <c r="AM33" s="102">
        <f t="shared" si="31"/>
        <v>6.5091574429314649</v>
      </c>
      <c r="AN33" s="102">
        <f t="shared" si="31"/>
        <v>6.1135352548108912</v>
      </c>
      <c r="AO33" s="102">
        <f t="shared" ref="AO33:AW33" si="32">+AO36*$Z$9/2</f>
        <v>5.695874710911923</v>
      </c>
      <c r="AP33" s="102">
        <f t="shared" si="32"/>
        <v>5.2549481522710346</v>
      </c>
      <c r="AQ33" s="102">
        <f t="shared" si="32"/>
        <v>4.7894595324939031</v>
      </c>
      <c r="AR33" s="102">
        <f t="shared" si="32"/>
        <v>4.2980406081952349</v>
      </c>
      <c r="AS33" s="102">
        <f t="shared" si="32"/>
        <v>3.7792469172249108</v>
      </c>
      <c r="AT33" s="102">
        <f t="shared" si="32"/>
        <v>3.2315535328589609</v>
      </c>
      <c r="AU33" s="102">
        <f t="shared" si="32"/>
        <v>2.6533505814753702</v>
      </c>
      <c r="AV33" s="102">
        <f t="shared" si="32"/>
        <v>2.0429385105394986</v>
      </c>
      <c r="AW33" s="102">
        <f t="shared" si="32"/>
        <v>1.3985230929899835</v>
      </c>
      <c r="AX33" s="102">
        <f t="shared" ref="AX33:AY33" si="33">+AX36*$Z$9/2</f>
        <v>0.71821015334114735</v>
      </c>
      <c r="AY33" s="102">
        <f t="shared" si="33"/>
        <v>-5.9543315463391383E-15</v>
      </c>
      <c r="AZ33" s="102"/>
      <c r="BA33" s="102"/>
      <c r="BB33" s="102"/>
      <c r="BC33" s="102"/>
      <c r="BD33" s="102"/>
      <c r="BE33" s="102"/>
      <c r="BF33" s="102"/>
      <c r="BG33" s="102"/>
      <c r="BH33" s="102"/>
      <c r="BI33" s="102"/>
    </row>
    <row r="34" spans="1:61" s="17" customFormat="1" hidden="1" outlineLevel="1" x14ac:dyDescent="0.25">
      <c r="A34" s="16" t="s">
        <v>220</v>
      </c>
      <c r="B34" s="101">
        <f t="shared" si="13"/>
        <v>353.89069872805027</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f>-PMT($Z$9/2,$Z$10*2,Z29)</f>
        <v>13.611180720309633</v>
      </c>
      <c r="AA34" s="102">
        <f t="shared" ref="AA34:AN34" si="34">+Z34</f>
        <v>13.611180720309633</v>
      </c>
      <c r="AB34" s="102">
        <f t="shared" si="34"/>
        <v>13.611180720309633</v>
      </c>
      <c r="AC34" s="102">
        <f t="shared" si="34"/>
        <v>13.611180720309633</v>
      </c>
      <c r="AD34" s="102">
        <f t="shared" si="34"/>
        <v>13.611180720309633</v>
      </c>
      <c r="AE34" s="102">
        <f t="shared" si="34"/>
        <v>13.611180720309633</v>
      </c>
      <c r="AF34" s="102">
        <f t="shared" si="34"/>
        <v>13.611180720309633</v>
      </c>
      <c r="AG34" s="102">
        <f t="shared" si="34"/>
        <v>13.611180720309633</v>
      </c>
      <c r="AH34" s="102">
        <f t="shared" si="34"/>
        <v>13.611180720309633</v>
      </c>
      <c r="AI34" s="102">
        <f t="shared" si="34"/>
        <v>13.611180720309633</v>
      </c>
      <c r="AJ34" s="102">
        <f t="shared" si="34"/>
        <v>13.611180720309633</v>
      </c>
      <c r="AK34" s="102">
        <f t="shared" si="34"/>
        <v>13.611180720309633</v>
      </c>
      <c r="AL34" s="102">
        <f t="shared" si="34"/>
        <v>13.611180720309633</v>
      </c>
      <c r="AM34" s="102">
        <f t="shared" si="34"/>
        <v>13.611180720309633</v>
      </c>
      <c r="AN34" s="102">
        <f t="shared" si="34"/>
        <v>13.611180720309633</v>
      </c>
      <c r="AO34" s="102">
        <f t="shared" ref="AO34" si="35">+AN34</f>
        <v>13.611180720309633</v>
      </c>
      <c r="AP34" s="102">
        <f t="shared" ref="AP34" si="36">+AO34</f>
        <v>13.611180720309633</v>
      </c>
      <c r="AQ34" s="102">
        <f t="shared" ref="AQ34" si="37">+AP34</f>
        <v>13.611180720309633</v>
      </c>
      <c r="AR34" s="102">
        <f t="shared" ref="AR34" si="38">+AQ34</f>
        <v>13.611180720309633</v>
      </c>
      <c r="AS34" s="102">
        <f t="shared" ref="AS34" si="39">+AR34</f>
        <v>13.611180720309633</v>
      </c>
      <c r="AT34" s="102">
        <f t="shared" ref="AT34" si="40">+AS34</f>
        <v>13.611180720309633</v>
      </c>
      <c r="AU34" s="102">
        <f t="shared" ref="AU34" si="41">+AT34</f>
        <v>13.611180720309633</v>
      </c>
      <c r="AV34" s="102">
        <f t="shared" ref="AV34" si="42">+AU34</f>
        <v>13.611180720309633</v>
      </c>
      <c r="AW34" s="102">
        <f t="shared" ref="AW34" si="43">+AV34</f>
        <v>13.611180720309633</v>
      </c>
      <c r="AX34" s="102">
        <f t="shared" ref="AX34" si="44">+AW34</f>
        <v>13.611180720309633</v>
      </c>
      <c r="AY34" s="102">
        <f t="shared" ref="AY34" si="45">+AX34</f>
        <v>13.611180720309633</v>
      </c>
      <c r="AZ34" s="102"/>
      <c r="BA34" s="102"/>
      <c r="BB34" s="102"/>
      <c r="BC34" s="102"/>
      <c r="BD34" s="102"/>
      <c r="BE34" s="102"/>
      <c r="BF34" s="102"/>
      <c r="BG34" s="102"/>
      <c r="BH34" s="102"/>
      <c r="BI34" s="102"/>
    </row>
    <row r="35" spans="1:61" s="17" customFormat="1" hidden="1" outlineLevel="1" x14ac:dyDescent="0.25">
      <c r="A35" s="16" t="s">
        <v>220</v>
      </c>
      <c r="B35" s="101">
        <f t="shared" si="13"/>
        <v>326.66833728743103</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f t="shared" ref="AA35:AN35" si="46">+AA34</f>
        <v>13.611180720309633</v>
      </c>
      <c r="AB35" s="102">
        <f t="shared" si="46"/>
        <v>13.611180720309633</v>
      </c>
      <c r="AC35" s="102">
        <f t="shared" si="46"/>
        <v>13.611180720309633</v>
      </c>
      <c r="AD35" s="102">
        <f t="shared" si="46"/>
        <v>13.611180720309633</v>
      </c>
      <c r="AE35" s="102">
        <f t="shared" si="46"/>
        <v>13.611180720309633</v>
      </c>
      <c r="AF35" s="102">
        <f t="shared" si="46"/>
        <v>13.611180720309633</v>
      </c>
      <c r="AG35" s="102">
        <f t="shared" si="46"/>
        <v>13.611180720309633</v>
      </c>
      <c r="AH35" s="102">
        <f t="shared" si="46"/>
        <v>13.611180720309633</v>
      </c>
      <c r="AI35" s="102">
        <f t="shared" si="46"/>
        <v>13.611180720309633</v>
      </c>
      <c r="AJ35" s="102">
        <f t="shared" si="46"/>
        <v>13.611180720309633</v>
      </c>
      <c r="AK35" s="102">
        <f t="shared" si="46"/>
        <v>13.611180720309633</v>
      </c>
      <c r="AL35" s="102">
        <f t="shared" si="46"/>
        <v>13.611180720309633</v>
      </c>
      <c r="AM35" s="102">
        <f t="shared" si="46"/>
        <v>13.611180720309633</v>
      </c>
      <c r="AN35" s="102">
        <f t="shared" si="46"/>
        <v>13.611180720309633</v>
      </c>
      <c r="AO35" s="102">
        <f t="shared" ref="AO35:AW35" si="47">+AO34</f>
        <v>13.611180720309633</v>
      </c>
      <c r="AP35" s="102">
        <f t="shared" si="47"/>
        <v>13.611180720309633</v>
      </c>
      <c r="AQ35" s="102">
        <f t="shared" si="47"/>
        <v>13.611180720309633</v>
      </c>
      <c r="AR35" s="102">
        <f t="shared" si="47"/>
        <v>13.611180720309633</v>
      </c>
      <c r="AS35" s="102">
        <f t="shared" si="47"/>
        <v>13.611180720309633</v>
      </c>
      <c r="AT35" s="102">
        <f t="shared" si="47"/>
        <v>13.611180720309633</v>
      </c>
      <c r="AU35" s="102">
        <f t="shared" si="47"/>
        <v>13.611180720309633</v>
      </c>
      <c r="AV35" s="102">
        <f t="shared" si="47"/>
        <v>13.611180720309633</v>
      </c>
      <c r="AW35" s="102">
        <f t="shared" si="47"/>
        <v>13.611180720309633</v>
      </c>
      <c r="AX35" s="102">
        <f t="shared" ref="AX35" si="48">+AX34</f>
        <v>13.611180720309633</v>
      </c>
      <c r="AY35" s="102"/>
      <c r="AZ35" s="102"/>
      <c r="BA35" s="102"/>
      <c r="BB35" s="102"/>
      <c r="BC35" s="102"/>
      <c r="BD35" s="102"/>
      <c r="BE35" s="102"/>
      <c r="BF35" s="102"/>
      <c r="BG35" s="102"/>
      <c r="BH35" s="102"/>
      <c r="BI35" s="102"/>
    </row>
    <row r="36" spans="1:61" s="17" customFormat="1" hidden="1" outlineLevel="1" x14ac:dyDescent="0.25">
      <c r="A36" s="16" t="s">
        <v>227</v>
      </c>
      <c r="B36" s="101">
        <f t="shared" si="13"/>
        <v>5417.5693342077857</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v>0</v>
      </c>
      <c r="AA36" s="102">
        <f t="shared" ref="AA36:AN36" si="49">+Z37-AA30</f>
        <v>360.52325913411852</v>
      </c>
      <c r="AB36" s="102">
        <f t="shared" si="49"/>
        <v>353.01007622859805</v>
      </c>
      <c r="AC36" s="102">
        <f t="shared" si="49"/>
        <v>345.07836725737178</v>
      </c>
      <c r="AD36" s="102">
        <f t="shared" si="49"/>
        <v>336.70481799132034</v>
      </c>
      <c r="AE36" s="102">
        <f t="shared" si="49"/>
        <v>327.86481546912108</v>
      </c>
      <c r="AF36" s="102">
        <f t="shared" si="49"/>
        <v>318.53237565064262</v>
      </c>
      <c r="AG36" s="102">
        <f t="shared" si="49"/>
        <v>308.68006704023122</v>
      </c>
      <c r="AH36" s="102">
        <f t="shared" si="49"/>
        <v>298.27893005538948</v>
      </c>
      <c r="AI36" s="102">
        <f t="shared" si="49"/>
        <v>287.29839190384195</v>
      </c>
      <c r="AJ36" s="102">
        <f t="shared" si="49"/>
        <v>275.70617671878006</v>
      </c>
      <c r="AK36" s="102">
        <f t="shared" si="49"/>
        <v>263.46821068814052</v>
      </c>
      <c r="AL36" s="102">
        <f t="shared" si="49"/>
        <v>250.54852189905714</v>
      </c>
      <c r="AM36" s="102">
        <f t="shared" si="49"/>
        <v>236.90913460309122</v>
      </c>
      <c r="AN36" s="102">
        <f t="shared" si="49"/>
        <v>222.5099575914478</v>
      </c>
      <c r="AO36" s="102">
        <f t="shared" ref="AO36" si="50">+AN37-AO30</f>
        <v>207.30866635207059</v>
      </c>
      <c r="AP36" s="102">
        <f t="shared" ref="AP36" si="51">+AO37-AP30</f>
        <v>191.26057866223164</v>
      </c>
      <c r="AQ36" s="102">
        <f t="shared" ref="AQ36" si="52">+AP37-AQ30</f>
        <v>174.31852325093672</v>
      </c>
      <c r="AR36" s="102">
        <f t="shared" ref="AR36" si="53">+AQ37-AR30</f>
        <v>156.43270114509627</v>
      </c>
      <c r="AS36" s="102">
        <f t="shared" ref="AS36" si="54">+AR37-AS30</f>
        <v>137.55053929190709</v>
      </c>
      <c r="AT36" s="102">
        <f t="shared" ref="AT36" si="55">+AS37-AT30</f>
        <v>117.61653602718661</v>
      </c>
      <c r="AU36" s="102">
        <f t="shared" ref="AU36" si="56">+AT37-AU30</f>
        <v>96.572097935434343</v>
      </c>
      <c r="AV36" s="102">
        <f t="shared" ref="AV36" si="57">+AU37-AV30</f>
        <v>74.355367622091293</v>
      </c>
      <c r="AW36" s="102">
        <f t="shared" ref="AW36" si="58">+AV37-AW30</f>
        <v>50.901041891756854</v>
      </c>
      <c r="AX36" s="102">
        <f t="shared" ref="AX36" si="59">+AW37-AX30</f>
        <v>26.140179797921071</v>
      </c>
      <c r="AY36" s="102">
        <f t="shared" ref="AY36" si="60">+AX37-AY30</f>
        <v>-2.1671553440683056E-13</v>
      </c>
      <c r="AZ36" s="102"/>
      <c r="BA36" s="102"/>
      <c r="BB36" s="102"/>
      <c r="BC36" s="102"/>
      <c r="BD36" s="102"/>
      <c r="BE36" s="102"/>
      <c r="BF36" s="102"/>
      <c r="BG36" s="102"/>
      <c r="BH36" s="102"/>
      <c r="BI36" s="102"/>
    </row>
    <row r="37" spans="1:61" s="17" customFormat="1" hidden="1" outlineLevel="1" x14ac:dyDescent="0.25">
      <c r="A37" s="16" t="s">
        <v>16</v>
      </c>
      <c r="B37" s="101">
        <f t="shared" si="13"/>
        <v>5603.8803710605152</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f>+Z29-Z30</f>
        <v>364.12985082635703</v>
      </c>
      <c r="AA37" s="102">
        <f t="shared" ref="AA37:AN37" si="61">+AA36-AA31</f>
        <v>356.81757513293849</v>
      </c>
      <c r="AB37" s="102">
        <f t="shared" si="61"/>
        <v>349.09796502269455</v>
      </c>
      <c r="AC37" s="102">
        <f t="shared" si="61"/>
        <v>340.94832970358084</v>
      </c>
      <c r="AD37" s="102">
        <f t="shared" si="61"/>
        <v>332.34471438026156</v>
      </c>
      <c r="AE37" s="102">
        <f t="shared" si="61"/>
        <v>323.26182984209737</v>
      </c>
      <c r="AF37" s="102">
        <f t="shared" si="61"/>
        <v>313.67297812879292</v>
      </c>
      <c r="AG37" s="102">
        <f t="shared" si="61"/>
        <v>303.5499740552076</v>
      </c>
      <c r="AH37" s="102">
        <f t="shared" si="61"/>
        <v>292.86306236466169</v>
      </c>
      <c r="AI37" s="102">
        <f t="shared" si="61"/>
        <v>281.58083026722102</v>
      </c>
      <c r="AJ37" s="102">
        <f t="shared" si="61"/>
        <v>269.67011510587781</v>
      </c>
      <c r="AK37" s="102">
        <f t="shared" si="61"/>
        <v>257.09590687922446</v>
      </c>
      <c r="AL37" s="102">
        <f t="shared" si="61"/>
        <v>243.82124533409805</v>
      </c>
      <c r="AM37" s="102">
        <f t="shared" si="61"/>
        <v>229.80711132571304</v>
      </c>
      <c r="AN37" s="102">
        <f t="shared" si="61"/>
        <v>215.01231212594905</v>
      </c>
      <c r="AO37" s="102">
        <f t="shared" ref="AO37:AW37" si="62">+AO36-AO31</f>
        <v>199.39336034267288</v>
      </c>
      <c r="AP37" s="102">
        <f t="shared" si="62"/>
        <v>182.90434609419304</v>
      </c>
      <c r="AQ37" s="102">
        <f t="shared" si="62"/>
        <v>165.49680206312098</v>
      </c>
      <c r="AR37" s="102">
        <f t="shared" si="62"/>
        <v>147.11956103298186</v>
      </c>
      <c r="AS37" s="102">
        <f t="shared" si="62"/>
        <v>127.71860548882236</v>
      </c>
      <c r="AT37" s="102">
        <f t="shared" si="62"/>
        <v>107.23690883973595</v>
      </c>
      <c r="AU37" s="102">
        <f t="shared" si="62"/>
        <v>85.614267796600075</v>
      </c>
      <c r="AV37" s="102">
        <f t="shared" si="62"/>
        <v>62.78712541232116</v>
      </c>
      <c r="AW37" s="102">
        <f t="shared" si="62"/>
        <v>38.688384264437204</v>
      </c>
      <c r="AX37" s="102">
        <f t="shared" ref="AX37:AY37" si="63">+AX36-AX31</f>
        <v>13.247209230952585</v>
      </c>
      <c r="AY37" s="102">
        <f t="shared" si="63"/>
        <v>-2.2266986595316969E-13</v>
      </c>
      <c r="AZ37" s="102"/>
      <c r="BA37" s="102"/>
      <c r="BB37" s="102"/>
      <c r="BC37" s="102"/>
      <c r="BD37" s="102"/>
      <c r="BE37" s="102"/>
      <c r="BF37" s="102"/>
      <c r="BG37" s="102"/>
      <c r="BH37" s="102"/>
      <c r="BI37" s="102"/>
    </row>
    <row r="38" spans="1:61" s="17" customFormat="1" hidden="1" outlineLevel="1" x14ac:dyDescent="0.25">
      <c r="A38" s="16"/>
      <c r="B38" s="101">
        <f t="shared" si="13"/>
        <v>0</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row>
    <row r="39" spans="1:61" hidden="1" outlineLevel="1" x14ac:dyDescent="0.25">
      <c r="A39" s="20" t="str">
        <f t="shared" ref="A39:A47" si="64">A29</f>
        <v>Debt Forecasted</v>
      </c>
      <c r="B39" s="101">
        <f t="shared" si="13"/>
        <v>3088.8</v>
      </c>
      <c r="C39" s="102">
        <v>0</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f>+AA$8</f>
        <v>3088.8</v>
      </c>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row>
    <row r="40" spans="1:61" s="17" customFormat="1" hidden="1" outlineLevel="1" x14ac:dyDescent="0.25">
      <c r="A40" s="16" t="str">
        <f t="shared" si="64"/>
        <v>Principal</v>
      </c>
      <c r="B40" s="101">
        <f t="shared" si="13"/>
        <v>1633.6346179253997</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f>+AA44-AA42</f>
        <v>69.780233163684827</v>
      </c>
      <c r="AB40" s="102">
        <f>+AB44-AB42</f>
        <v>71.560665844251517</v>
      </c>
      <c r="AC40" s="102">
        <f t="shared" ref="AC40:AP41" si="65">+AC44-AC42</f>
        <v>75.258972737679088</v>
      </c>
      <c r="AD40" s="102">
        <f t="shared" si="65"/>
        <v>79.148410802352913</v>
      </c>
      <c r="AE40" s="102">
        <f t="shared" si="65"/>
        <v>83.238857835241916</v>
      </c>
      <c r="AF40" s="102">
        <f t="shared" si="65"/>
        <v>87.540702124996272</v>
      </c>
      <c r="AG40" s="102">
        <f t="shared" si="65"/>
        <v>92.064868834526294</v>
      </c>
      <c r="AH40" s="102">
        <f t="shared" si="65"/>
        <v>96.82284774705181</v>
      </c>
      <c r="AI40" s="102">
        <f t="shared" si="65"/>
        <v>101.82672244608769</v>
      </c>
      <c r="AJ40" s="102">
        <f t="shared" si="65"/>
        <v>107.0892010034718</v>
      </c>
      <c r="AK40" s="102">
        <f t="shared" si="65"/>
        <v>112.62364825337264</v>
      </c>
      <c r="AL40" s="102">
        <f t="shared" si="65"/>
        <v>118.44411973424093</v>
      </c>
      <c r="AM40" s="102">
        <f t="shared" si="65"/>
        <v>124.56539738490567</v>
      </c>
      <c r="AN40" s="102">
        <f t="shared" si="65"/>
        <v>131.00302708547042</v>
      </c>
      <c r="AO40" s="102">
        <f t="shared" si="65"/>
        <v>137.77335813834998</v>
      </c>
      <c r="AP40" s="102">
        <f t="shared" si="65"/>
        <v>144.89358478971585</v>
      </c>
      <c r="AQ40" s="102"/>
      <c r="AR40" s="102"/>
      <c r="AS40" s="102"/>
      <c r="AT40" s="102"/>
      <c r="AU40" s="102"/>
      <c r="AV40" s="102"/>
      <c r="AW40" s="102"/>
      <c r="AX40" s="102"/>
      <c r="AY40" s="102"/>
      <c r="AZ40" s="102"/>
      <c r="BA40" s="102"/>
      <c r="BB40" s="102"/>
      <c r="BC40" s="102"/>
      <c r="BD40" s="102"/>
      <c r="BE40" s="102"/>
      <c r="BF40" s="102"/>
      <c r="BG40" s="102"/>
      <c r="BH40" s="102"/>
      <c r="BI40" s="102"/>
    </row>
    <row r="41" spans="1:61" s="17" customFormat="1" hidden="1" outlineLevel="1" x14ac:dyDescent="0.25">
      <c r="A41" s="16" t="str">
        <f t="shared" si="64"/>
        <v>Principal</v>
      </c>
      <c r="B41" s="101">
        <f t="shared" si="13"/>
        <v>1455.1653820745987</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f>+AB45-AB43</f>
        <v>73.386526010315322</v>
      </c>
      <c r="AC41" s="102">
        <f t="shared" si="65"/>
        <v>77.179194675799152</v>
      </c>
      <c r="AD41" s="102">
        <f t="shared" si="65"/>
        <v>81.167871197059128</v>
      </c>
      <c r="AE41" s="102">
        <f t="shared" si="65"/>
        <v>85.362685401642707</v>
      </c>
      <c r="AF41" s="102">
        <f t="shared" si="65"/>
        <v>89.774290633900961</v>
      </c>
      <c r="AG41" s="102">
        <f t="shared" si="65"/>
        <v>94.413890810715117</v>
      </c>
      <c r="AH41" s="102">
        <f t="shared" si="65"/>
        <v>99.293268875482454</v>
      </c>
      <c r="AI41" s="102">
        <f t="shared" si="65"/>
        <v>104.42481672262498</v>
      </c>
      <c r="AJ41" s="102">
        <f t="shared" si="65"/>
        <v>109.82156666861809</v>
      </c>
      <c r="AK41" s="102">
        <f t="shared" si="65"/>
        <v>115.49722454946483</v>
      </c>
      <c r="AL41" s="102">
        <f t="shared" si="65"/>
        <v>121.46620452867154</v>
      </c>
      <c r="AM41" s="102">
        <f t="shared" si="65"/>
        <v>127.74366570412477</v>
      </c>
      <c r="AN41" s="102">
        <f t="shared" si="65"/>
        <v>134.34555060683803</v>
      </c>
      <c r="AO41" s="102">
        <f t="shared" si="65"/>
        <v>141.28862568934167</v>
      </c>
      <c r="AP41" s="102">
        <f t="shared" si="65"/>
        <v>-5.5113365046314085E-14</v>
      </c>
      <c r="AQ41" s="102"/>
      <c r="AR41" s="102"/>
      <c r="AS41" s="102"/>
      <c r="AT41" s="102"/>
      <c r="AU41" s="102"/>
      <c r="AV41" s="102"/>
      <c r="AW41" s="102"/>
      <c r="AX41" s="102"/>
      <c r="AY41" s="102"/>
      <c r="AZ41" s="102"/>
      <c r="BA41" s="102"/>
      <c r="BB41" s="102"/>
      <c r="BC41" s="102"/>
      <c r="BD41" s="102"/>
      <c r="BE41" s="102"/>
      <c r="BF41" s="102"/>
      <c r="BG41" s="102"/>
      <c r="BH41" s="102"/>
      <c r="BI41" s="102"/>
    </row>
    <row r="42" spans="1:61" s="17" customFormat="1" hidden="1" outlineLevel="1" x14ac:dyDescent="0.25">
      <c r="A42" s="16" t="str">
        <f t="shared" si="64"/>
        <v>Interest</v>
      </c>
      <c r="B42" s="101">
        <f t="shared" si="13"/>
        <v>743.81376457927172</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f>+AA39*(AA$9/2)</f>
        <v>78.810290742857134</v>
      </c>
      <c r="AB42" s="102">
        <f>+AA47*$AA$9/2</f>
        <v>77.029858062290444</v>
      </c>
      <c r="AC42" s="102">
        <f t="shared" ref="AC42:AP42" si="66">+AB47*$AA$9/2</f>
        <v>73.331551168862873</v>
      </c>
      <c r="AD42" s="102">
        <f t="shared" si="66"/>
        <v>69.442113104189048</v>
      </c>
      <c r="AE42" s="102">
        <f t="shared" si="66"/>
        <v>65.351666071300045</v>
      </c>
      <c r="AF42" s="102">
        <f t="shared" si="66"/>
        <v>61.049821781545681</v>
      </c>
      <c r="AG42" s="102">
        <f t="shared" si="66"/>
        <v>56.525655072015674</v>
      </c>
      <c r="AH42" s="102">
        <f t="shared" si="66"/>
        <v>51.767676159490144</v>
      </c>
      <c r="AI42" s="102">
        <f t="shared" si="66"/>
        <v>46.763801460454275</v>
      </c>
      <c r="AJ42" s="102">
        <f t="shared" si="66"/>
        <v>41.501322903070168</v>
      </c>
      <c r="AK42" s="102">
        <f t="shared" si="66"/>
        <v>35.966875653169325</v>
      </c>
      <c r="AL42" s="102">
        <f t="shared" si="66"/>
        <v>30.14640417230104</v>
      </c>
      <c r="AM42" s="102">
        <f t="shared" si="66"/>
        <v>24.025126521636292</v>
      </c>
      <c r="AN42" s="102">
        <f t="shared" si="66"/>
        <v>17.587496821071554</v>
      </c>
      <c r="AO42" s="102">
        <f t="shared" si="66"/>
        <v>10.817165768191973</v>
      </c>
      <c r="AP42" s="102">
        <f t="shared" si="66"/>
        <v>3.6969391168261128</v>
      </c>
      <c r="AQ42" s="102"/>
      <c r="AR42" s="102"/>
      <c r="AS42" s="102"/>
      <c r="AT42" s="102"/>
      <c r="AU42" s="102"/>
      <c r="AV42" s="102"/>
      <c r="AW42" s="102"/>
      <c r="AX42" s="102"/>
      <c r="AY42" s="102"/>
      <c r="AZ42" s="102"/>
      <c r="BA42" s="102"/>
      <c r="BB42" s="102"/>
      <c r="BC42" s="102"/>
      <c r="BD42" s="102"/>
      <c r="BE42" s="102"/>
      <c r="BF42" s="102"/>
      <c r="BG42" s="102"/>
      <c r="BH42" s="102"/>
      <c r="BI42" s="102"/>
    </row>
    <row r="43" spans="1:61" s="17" customFormat="1" hidden="1" outlineLevel="1" x14ac:dyDescent="0.25">
      <c r="A43" s="16" t="str">
        <f t="shared" si="64"/>
        <v>Interest</v>
      </c>
      <c r="B43" s="101">
        <f t="shared" si="13"/>
        <v>625.1019526169888</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f>+AB46*$AA$9/2</f>
        <v>75.203997896226639</v>
      </c>
      <c r="AC43" s="102">
        <f t="shared" ref="AC43:AP43" si="67">+AC46*$AA$9/2</f>
        <v>71.411329230742808</v>
      </c>
      <c r="AD43" s="102">
        <f t="shared" si="67"/>
        <v>67.422652709482833</v>
      </c>
      <c r="AE43" s="102">
        <f t="shared" si="67"/>
        <v>63.227838504899253</v>
      </c>
      <c r="AF43" s="102">
        <f t="shared" si="67"/>
        <v>58.816233272640993</v>
      </c>
      <c r="AG43" s="102">
        <f t="shared" si="67"/>
        <v>54.176633095826851</v>
      </c>
      <c r="AH43" s="102">
        <f t="shared" si="67"/>
        <v>49.297255031059507</v>
      </c>
      <c r="AI43" s="102">
        <f t="shared" si="67"/>
        <v>44.165707183916979</v>
      </c>
      <c r="AJ43" s="102">
        <f t="shared" si="67"/>
        <v>38.768957237923871</v>
      </c>
      <c r="AK43" s="102">
        <f t="shared" si="67"/>
        <v>33.093299357077129</v>
      </c>
      <c r="AL43" s="102">
        <f t="shared" si="67"/>
        <v>27.124319377870414</v>
      </c>
      <c r="AM43" s="102">
        <f t="shared" si="67"/>
        <v>20.846858202417195</v>
      </c>
      <c r="AN43" s="102">
        <f t="shared" si="67"/>
        <v>14.244973299703931</v>
      </c>
      <c r="AO43" s="102">
        <f t="shared" si="67"/>
        <v>7.3018982172002804</v>
      </c>
      <c r="AP43" s="102">
        <f t="shared" si="67"/>
        <v>5.5113365046314085E-14</v>
      </c>
      <c r="AQ43" s="102"/>
      <c r="AR43" s="102"/>
      <c r="AS43" s="102"/>
      <c r="AT43" s="102"/>
      <c r="AU43" s="102"/>
      <c r="AV43" s="102"/>
      <c r="AW43" s="102"/>
      <c r="AX43" s="102"/>
      <c r="AY43" s="102"/>
      <c r="AZ43" s="102"/>
      <c r="BA43" s="102"/>
      <c r="BB43" s="102"/>
      <c r="BC43" s="102"/>
      <c r="BD43" s="102"/>
      <c r="BE43" s="102"/>
      <c r="BF43" s="102"/>
      <c r="BG43" s="102"/>
      <c r="BH43" s="102"/>
      <c r="BI43" s="102"/>
    </row>
    <row r="44" spans="1:61" s="17" customFormat="1" hidden="1" outlineLevel="1" x14ac:dyDescent="0.25">
      <c r="A44" s="16" t="str">
        <f t="shared" si="64"/>
        <v xml:space="preserve">Debt Servicing </v>
      </c>
      <c r="B44" s="101">
        <f t="shared" si="13"/>
        <v>2377.4483825046709</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f>-PMT($AA$9/2,$AA$10*2,AA39)</f>
        <v>148.59052390654196</v>
      </c>
      <c r="AB44" s="102">
        <f>+AA44</f>
        <v>148.59052390654196</v>
      </c>
      <c r="AC44" s="102">
        <f t="shared" ref="AC44:AP44" si="68">+AB44</f>
        <v>148.59052390654196</v>
      </c>
      <c r="AD44" s="102">
        <f t="shared" si="68"/>
        <v>148.59052390654196</v>
      </c>
      <c r="AE44" s="102">
        <f t="shared" si="68"/>
        <v>148.59052390654196</v>
      </c>
      <c r="AF44" s="102">
        <f t="shared" si="68"/>
        <v>148.59052390654196</v>
      </c>
      <c r="AG44" s="102">
        <f t="shared" si="68"/>
        <v>148.59052390654196</v>
      </c>
      <c r="AH44" s="102">
        <f t="shared" si="68"/>
        <v>148.59052390654196</v>
      </c>
      <c r="AI44" s="102">
        <f t="shared" si="68"/>
        <v>148.59052390654196</v>
      </c>
      <c r="AJ44" s="102">
        <f t="shared" si="68"/>
        <v>148.59052390654196</v>
      </c>
      <c r="AK44" s="102">
        <f t="shared" si="68"/>
        <v>148.59052390654196</v>
      </c>
      <c r="AL44" s="102">
        <f t="shared" si="68"/>
        <v>148.59052390654196</v>
      </c>
      <c r="AM44" s="102">
        <f t="shared" si="68"/>
        <v>148.59052390654196</v>
      </c>
      <c r="AN44" s="102">
        <f t="shared" si="68"/>
        <v>148.59052390654196</v>
      </c>
      <c r="AO44" s="102">
        <f t="shared" si="68"/>
        <v>148.59052390654196</v>
      </c>
      <c r="AP44" s="102">
        <f t="shared" si="68"/>
        <v>148.59052390654196</v>
      </c>
      <c r="AQ44" s="102"/>
      <c r="AR44" s="102"/>
      <c r="AS44" s="102"/>
      <c r="AT44" s="102"/>
      <c r="AU44" s="102"/>
      <c r="AV44" s="102"/>
      <c r="AW44" s="102"/>
      <c r="AX44" s="102"/>
      <c r="AY44" s="102"/>
      <c r="AZ44" s="102"/>
      <c r="BA44" s="102"/>
      <c r="BB44" s="102"/>
      <c r="BC44" s="102"/>
      <c r="BD44" s="102"/>
      <c r="BE44" s="102"/>
      <c r="BF44" s="102"/>
      <c r="BG44" s="102"/>
      <c r="BH44" s="102"/>
      <c r="BI44" s="102"/>
    </row>
    <row r="45" spans="1:61" s="17" customFormat="1" hidden="1" outlineLevel="1" x14ac:dyDescent="0.25">
      <c r="A45" s="16" t="str">
        <f t="shared" si="64"/>
        <v xml:space="preserve">Debt Servicing </v>
      </c>
      <c r="B45" s="101">
        <f t="shared" si="13"/>
        <v>2080.2673346915872</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f t="shared" ref="AB45:AO45" si="69">+AB44</f>
        <v>148.59052390654196</v>
      </c>
      <c r="AC45" s="102">
        <f t="shared" si="69"/>
        <v>148.59052390654196</v>
      </c>
      <c r="AD45" s="102">
        <f t="shared" si="69"/>
        <v>148.59052390654196</v>
      </c>
      <c r="AE45" s="102">
        <f t="shared" si="69"/>
        <v>148.59052390654196</v>
      </c>
      <c r="AF45" s="102">
        <f t="shared" si="69"/>
        <v>148.59052390654196</v>
      </c>
      <c r="AG45" s="102">
        <f t="shared" si="69"/>
        <v>148.59052390654196</v>
      </c>
      <c r="AH45" s="102">
        <f t="shared" si="69"/>
        <v>148.59052390654196</v>
      </c>
      <c r="AI45" s="102">
        <f t="shared" si="69"/>
        <v>148.59052390654196</v>
      </c>
      <c r="AJ45" s="102">
        <f t="shared" si="69"/>
        <v>148.59052390654196</v>
      </c>
      <c r="AK45" s="102">
        <f t="shared" si="69"/>
        <v>148.59052390654196</v>
      </c>
      <c r="AL45" s="102">
        <f t="shared" si="69"/>
        <v>148.59052390654196</v>
      </c>
      <c r="AM45" s="102">
        <f t="shared" si="69"/>
        <v>148.59052390654196</v>
      </c>
      <c r="AN45" s="102">
        <f t="shared" si="69"/>
        <v>148.59052390654196</v>
      </c>
      <c r="AO45" s="102">
        <f t="shared" si="69"/>
        <v>148.59052390654196</v>
      </c>
      <c r="AP45" s="102"/>
      <c r="AQ45" s="102"/>
      <c r="AR45" s="102"/>
      <c r="AS45" s="102"/>
      <c r="AT45" s="102"/>
      <c r="AU45" s="102"/>
      <c r="AV45" s="102"/>
      <c r="AW45" s="102"/>
      <c r="AX45" s="102"/>
      <c r="AY45" s="102"/>
      <c r="AZ45" s="102"/>
      <c r="BA45" s="102"/>
      <c r="BB45" s="102"/>
      <c r="BC45" s="102"/>
      <c r="BD45" s="102"/>
      <c r="BE45" s="102"/>
      <c r="BF45" s="102"/>
      <c r="BG45" s="102"/>
      <c r="BH45" s="102"/>
      <c r="BI45" s="102"/>
    </row>
    <row r="46" spans="1:61" s="17" customFormat="1" hidden="1" outlineLevel="1" x14ac:dyDescent="0.25">
      <c r="A46" s="16" t="str">
        <f t="shared" si="64"/>
        <v>Balance mid year</v>
      </c>
      <c r="B46" s="101">
        <f t="shared" si="13"/>
        <v>24499.527828710008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v>0</v>
      </c>
      <c r="AB46" s="102">
        <f>+AA47-AB40</f>
        <v>2947.4591009920637</v>
      </c>
      <c r="AC46" s="102">
        <f t="shared" ref="AC46:AP46" si="70">+AB47-AC40</f>
        <v>2798.8136022440694</v>
      </c>
      <c r="AD46" s="102">
        <f t="shared" si="70"/>
        <v>2642.4859967659177</v>
      </c>
      <c r="AE46" s="102">
        <f t="shared" si="70"/>
        <v>2478.0792677336167</v>
      </c>
      <c r="AF46" s="102">
        <f t="shared" si="70"/>
        <v>2305.1758802069776</v>
      </c>
      <c r="AG46" s="102">
        <f t="shared" si="70"/>
        <v>2123.3367207385504</v>
      </c>
      <c r="AH46" s="102">
        <f t="shared" si="70"/>
        <v>1932.0999821807834</v>
      </c>
      <c r="AI46" s="102">
        <f t="shared" si="70"/>
        <v>1730.9799908592133</v>
      </c>
      <c r="AJ46" s="102">
        <f t="shared" si="70"/>
        <v>1519.4659731331167</v>
      </c>
      <c r="AK46" s="102">
        <f t="shared" si="70"/>
        <v>1297.0207582111259</v>
      </c>
      <c r="AL46" s="102">
        <f t="shared" si="70"/>
        <v>1063.0794139274201</v>
      </c>
      <c r="AM46" s="102">
        <f t="shared" si="70"/>
        <v>817.04781201384287</v>
      </c>
      <c r="AN46" s="102">
        <f t="shared" si="70"/>
        <v>558.30111922424771</v>
      </c>
      <c r="AO46" s="102">
        <f t="shared" si="70"/>
        <v>286.18221047905968</v>
      </c>
      <c r="AP46" s="102">
        <f t="shared" si="70"/>
        <v>2.1600499167107046E-12</v>
      </c>
      <c r="AQ46" s="102"/>
      <c r="AR46" s="102"/>
      <c r="AS46" s="102"/>
      <c r="AT46" s="102"/>
      <c r="AU46" s="102"/>
      <c r="AV46" s="102"/>
      <c r="AW46" s="102"/>
      <c r="AX46" s="102"/>
      <c r="AY46" s="102"/>
      <c r="AZ46" s="102"/>
      <c r="BA46" s="102"/>
      <c r="BB46" s="102"/>
      <c r="BC46" s="102"/>
      <c r="BD46" s="102"/>
      <c r="BE46" s="102"/>
      <c r="BF46" s="102"/>
      <c r="BG46" s="102"/>
      <c r="BH46" s="102"/>
      <c r="BI46" s="102"/>
    </row>
    <row r="47" spans="1:61" s="17" customFormat="1" hidden="1" outlineLevel="1" x14ac:dyDescent="0.25">
      <c r="A47" s="16" t="str">
        <f t="shared" si="64"/>
        <v>Balance</v>
      </c>
      <c r="B47" s="101">
        <f t="shared" si="13"/>
        <v>26063.38221347173</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f>+AA39-AA40</f>
        <v>3019.0197668363153</v>
      </c>
      <c r="AB47" s="102">
        <f t="shared" ref="AB47:AP47" si="71">+AB46-AB41</f>
        <v>2874.0725749817484</v>
      </c>
      <c r="AC47" s="102">
        <f t="shared" si="71"/>
        <v>2721.6344075682705</v>
      </c>
      <c r="AD47" s="102">
        <f t="shared" si="71"/>
        <v>2561.3181255688587</v>
      </c>
      <c r="AE47" s="102">
        <f t="shared" si="71"/>
        <v>2392.7165823319738</v>
      </c>
      <c r="AF47" s="102">
        <f t="shared" si="71"/>
        <v>2215.4015895730768</v>
      </c>
      <c r="AG47" s="102">
        <f t="shared" si="71"/>
        <v>2028.9228299278352</v>
      </c>
      <c r="AH47" s="102">
        <f t="shared" si="71"/>
        <v>1832.8067133053009</v>
      </c>
      <c r="AI47" s="102">
        <f t="shared" si="71"/>
        <v>1626.5551741365884</v>
      </c>
      <c r="AJ47" s="102">
        <f t="shared" si="71"/>
        <v>1409.6444064644986</v>
      </c>
      <c r="AK47" s="102">
        <f t="shared" si="71"/>
        <v>1181.5235336616611</v>
      </c>
      <c r="AL47" s="102">
        <f t="shared" si="71"/>
        <v>941.6132093987485</v>
      </c>
      <c r="AM47" s="102">
        <f t="shared" si="71"/>
        <v>689.30414630971813</v>
      </c>
      <c r="AN47" s="102">
        <f t="shared" si="71"/>
        <v>423.95556861740965</v>
      </c>
      <c r="AO47" s="102">
        <f t="shared" si="71"/>
        <v>144.89358478971801</v>
      </c>
      <c r="AP47" s="102">
        <f t="shared" si="71"/>
        <v>2.2151632817570186E-12</v>
      </c>
      <c r="AQ47" s="102"/>
      <c r="AR47" s="102"/>
      <c r="AS47" s="102"/>
      <c r="AT47" s="102"/>
      <c r="AU47" s="102"/>
      <c r="AV47" s="102"/>
      <c r="AW47" s="102"/>
      <c r="AX47" s="102"/>
      <c r="AY47" s="102"/>
      <c r="AZ47" s="102"/>
      <c r="BA47" s="102"/>
      <c r="BB47" s="102"/>
      <c r="BC47" s="102"/>
      <c r="BD47" s="102"/>
      <c r="BE47" s="102"/>
      <c r="BF47" s="102"/>
      <c r="BG47" s="102"/>
      <c r="BH47" s="102"/>
      <c r="BI47" s="102"/>
    </row>
    <row r="48" spans="1:61" s="17" customFormat="1" hidden="1" outlineLevel="1" x14ac:dyDescent="0.25">
      <c r="A48" s="16"/>
      <c r="B48" s="10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row>
    <row r="49" spans="1:61" hidden="1" outlineLevel="1" x14ac:dyDescent="0.25">
      <c r="A49" s="20" t="str">
        <f t="shared" ref="A49:A57" si="72">A39</f>
        <v>Debt Forecasted</v>
      </c>
      <c r="B49" s="101">
        <f t="shared" ref="B49:B67" si="73">SUM(C49:BB49)</f>
        <v>3088.8</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f>+AB$8</f>
        <v>3088.8</v>
      </c>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row>
    <row r="50" spans="1:61" s="17" customFormat="1" hidden="1" outlineLevel="1" x14ac:dyDescent="0.25">
      <c r="A50" s="16" t="str">
        <f t="shared" si="72"/>
        <v>Principal</v>
      </c>
      <c r="B50" s="101">
        <f t="shared" si="73"/>
        <v>1633.6171251866499</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f>+AB54-AB52</f>
        <v>69.726227194144826</v>
      </c>
      <c r="AC50" s="102">
        <f>+AC54-AC52</f>
        <v>71.508663642132746</v>
      </c>
      <c r="AD50" s="102">
        <f t="shared" ref="AD50:AQ51" si="74">+AD54-AD52</f>
        <v>75.211396512511016</v>
      </c>
      <c r="AE50" s="102">
        <f t="shared" si="74"/>
        <v>79.105857629664996</v>
      </c>
      <c r="AF50" s="102">
        <f t="shared" si="74"/>
        <v>83.201974720465216</v>
      </c>
      <c r="AG50" s="102">
        <f t="shared" si="74"/>
        <v>87.510189571460302</v>
      </c>
      <c r="AH50" s="102">
        <f t="shared" si="74"/>
        <v>92.041484646989645</v>
      </c>
      <c r="AI50" s="102">
        <f t="shared" si="74"/>
        <v>96.807411085587276</v>
      </c>
      <c r="AJ50" s="102">
        <f t="shared" si="74"/>
        <v>101.82011814604515</v>
      </c>
      <c r="AK50" s="102">
        <f t="shared" si="74"/>
        <v>107.09238417819941</v>
      </c>
      <c r="AL50" s="102">
        <f t="shared" si="74"/>
        <v>112.63764919739016</v>
      </c>
      <c r="AM50" s="102">
        <f t="shared" si="74"/>
        <v>118.47004914563333</v>
      </c>
      <c r="AN50" s="102">
        <f t="shared" si="74"/>
        <v>124.60445192684273</v>
      </c>
      <c r="AO50" s="102">
        <f t="shared" si="74"/>
        <v>131.05649530796316</v>
      </c>
      <c r="AP50" s="102">
        <f t="shared" si="74"/>
        <v>137.84262678263181</v>
      </c>
      <c r="AQ50" s="102">
        <f t="shared" si="74"/>
        <v>144.98014549898789</v>
      </c>
      <c r="AR50" s="102"/>
      <c r="AS50" s="102"/>
      <c r="AT50" s="102"/>
      <c r="AU50" s="102"/>
      <c r="AV50" s="102"/>
      <c r="AW50" s="102"/>
      <c r="AX50" s="102"/>
      <c r="AY50" s="102"/>
      <c r="AZ50" s="102"/>
      <c r="BA50" s="102"/>
      <c r="BB50" s="102"/>
      <c r="BC50" s="102"/>
      <c r="BD50" s="102"/>
      <c r="BE50" s="102"/>
      <c r="BF50" s="102"/>
      <c r="BG50" s="102"/>
      <c r="BH50" s="102"/>
      <c r="BI50" s="102"/>
    </row>
    <row r="51" spans="1:61" s="17" customFormat="1" hidden="1" outlineLevel="1" x14ac:dyDescent="0.25">
      <c r="A51" s="16" t="str">
        <f t="shared" si="72"/>
        <v>Principal</v>
      </c>
      <c r="B51" s="101">
        <f t="shared" si="73"/>
        <v>1455.1828748133489</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f>+AC55-AC53</f>
        <v>73.336665149625034</v>
      </c>
      <c r="AD51" s="102">
        <f t="shared" si="74"/>
        <v>77.134052302773384</v>
      </c>
      <c r="AE51" s="102">
        <f t="shared" si="74"/>
        <v>81.128068920344134</v>
      </c>
      <c r="AF51" s="102">
        <f t="shared" si="74"/>
        <v>85.328896515235442</v>
      </c>
      <c r="AG51" s="102">
        <f t="shared" si="74"/>
        <v>89.747243801114678</v>
      </c>
      <c r="AH51" s="102">
        <f t="shared" si="74"/>
        <v>94.394373990979446</v>
      </c>
      <c r="AI51" s="102">
        <f t="shared" si="74"/>
        <v>99.282133509243536</v>
      </c>
      <c r="AJ51" s="102">
        <f t="shared" si="74"/>
        <v>104.42298219054041</v>
      </c>
      <c r="AK51" s="102">
        <f t="shared" si="74"/>
        <v>109.83002504222678</v>
      </c>
      <c r="AL51" s="102">
        <f t="shared" si="74"/>
        <v>115.51704565155489</v>
      </c>
      <c r="AM51" s="102">
        <f t="shared" si="74"/>
        <v>121.498541322675</v>
      </c>
      <c r="AN51" s="102">
        <f t="shared" si="74"/>
        <v>127.78976003303858</v>
      </c>
      <c r="AO51" s="102">
        <f t="shared" si="74"/>
        <v>134.4067393034118</v>
      </c>
      <c r="AP51" s="102">
        <f t="shared" si="74"/>
        <v>141.3663470805858</v>
      </c>
      <c r="AQ51" s="102">
        <f t="shared" si="74"/>
        <v>-4.9405692997035133E-14</v>
      </c>
      <c r="AR51" s="102"/>
      <c r="AS51" s="102"/>
      <c r="AT51" s="102"/>
      <c r="AU51" s="102"/>
      <c r="AV51" s="102"/>
      <c r="AW51" s="102"/>
      <c r="AX51" s="102"/>
      <c r="AY51" s="102"/>
      <c r="AZ51" s="102"/>
      <c r="BA51" s="102"/>
      <c r="BB51" s="102"/>
      <c r="BC51" s="102"/>
      <c r="BD51" s="102"/>
      <c r="BE51" s="102"/>
      <c r="BF51" s="102"/>
      <c r="BG51" s="102"/>
      <c r="BH51" s="102"/>
      <c r="BI51" s="102"/>
    </row>
    <row r="52" spans="1:61" s="17" customFormat="1" hidden="1" outlineLevel="1" x14ac:dyDescent="0.25">
      <c r="A52" s="16" t="str">
        <f t="shared" si="72"/>
        <v>Interest</v>
      </c>
      <c r="B52" s="101">
        <f t="shared" si="73"/>
        <v>745.36407060538204</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f>+AB49*(AB$9/2)</f>
        <v>78.960097542857142</v>
      </c>
      <c r="AC52" s="102">
        <f>+AB57*$AB$9/2</f>
        <v>77.177661094869222</v>
      </c>
      <c r="AD52" s="102">
        <f t="shared" ref="AD52:AQ52" si="75">+AC57*$AB$9/2</f>
        <v>73.474928224490952</v>
      </c>
      <c r="AE52" s="102">
        <f t="shared" si="75"/>
        <v>69.580467107336972</v>
      </c>
      <c r="AF52" s="102">
        <f t="shared" si="75"/>
        <v>65.484350016536752</v>
      </c>
      <c r="AG52" s="102">
        <f t="shared" si="75"/>
        <v>61.176135165541659</v>
      </c>
      <c r="AH52" s="102">
        <f t="shared" si="75"/>
        <v>56.644840090012323</v>
      </c>
      <c r="AI52" s="102">
        <f t="shared" si="75"/>
        <v>51.878913651414692</v>
      </c>
      <c r="AJ52" s="102">
        <f t="shared" si="75"/>
        <v>46.866206590956821</v>
      </c>
      <c r="AK52" s="102">
        <f t="shared" si="75"/>
        <v>41.593940558802565</v>
      </c>
      <c r="AL52" s="102">
        <f t="shared" si="75"/>
        <v>36.048675539611807</v>
      </c>
      <c r="AM52" s="102">
        <f t="shared" si="75"/>
        <v>30.216275591368639</v>
      </c>
      <c r="AN52" s="102">
        <f t="shared" si="75"/>
        <v>24.081872810159247</v>
      </c>
      <c r="AO52" s="102">
        <f t="shared" si="75"/>
        <v>17.629829429038818</v>
      </c>
      <c r="AP52" s="102">
        <f t="shared" si="75"/>
        <v>10.843697954370166</v>
      </c>
      <c r="AQ52" s="102">
        <f t="shared" si="75"/>
        <v>3.706179238014069</v>
      </c>
      <c r="AR52" s="102"/>
      <c r="AS52" s="102"/>
      <c r="AT52" s="102"/>
      <c r="AU52" s="102"/>
      <c r="AV52" s="102"/>
      <c r="AW52" s="102"/>
      <c r="AX52" s="102"/>
      <c r="AY52" s="102"/>
      <c r="AZ52" s="102"/>
      <c r="BA52" s="102"/>
      <c r="BB52" s="102"/>
      <c r="BC52" s="102"/>
      <c r="BD52" s="102"/>
      <c r="BE52" s="102"/>
      <c r="BF52" s="102"/>
      <c r="BG52" s="102"/>
      <c r="BH52" s="102"/>
      <c r="BI52" s="102"/>
    </row>
    <row r="53" spans="1:61" s="17" customFormat="1" hidden="1" outlineLevel="1" x14ac:dyDescent="0.25">
      <c r="A53" s="16" t="str">
        <f t="shared" si="72"/>
        <v>Interest</v>
      </c>
      <c r="B53" s="101">
        <f t="shared" si="73"/>
        <v>626.42567150467869</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f>+AC56*$AB$9/2</f>
        <v>75.349659587376934</v>
      </c>
      <c r="AD53" s="102">
        <f t="shared" ref="AD53:AQ53" si="76">+AD56*$AB$9/2</f>
        <v>71.552272434228584</v>
      </c>
      <c r="AE53" s="102">
        <f t="shared" si="76"/>
        <v>67.558255816657834</v>
      </c>
      <c r="AF53" s="102">
        <f t="shared" si="76"/>
        <v>63.357428221766519</v>
      </c>
      <c r="AG53" s="102">
        <f t="shared" si="76"/>
        <v>58.93908093588729</v>
      </c>
      <c r="AH53" s="102">
        <f t="shared" si="76"/>
        <v>54.291950746022522</v>
      </c>
      <c r="AI53" s="102">
        <f t="shared" si="76"/>
        <v>49.404191227758432</v>
      </c>
      <c r="AJ53" s="102">
        <f t="shared" si="76"/>
        <v>44.263342546461558</v>
      </c>
      <c r="AK53" s="102">
        <f t="shared" si="76"/>
        <v>38.856299694775188</v>
      </c>
      <c r="AL53" s="102">
        <f t="shared" si="76"/>
        <v>33.169279085447066</v>
      </c>
      <c r="AM53" s="102">
        <f t="shared" si="76"/>
        <v>27.187783414326976</v>
      </c>
      <c r="AN53" s="102">
        <f t="shared" si="76"/>
        <v>20.896564703963392</v>
      </c>
      <c r="AO53" s="102">
        <f t="shared" si="76"/>
        <v>14.279585433590174</v>
      </c>
      <c r="AP53" s="102">
        <f t="shared" si="76"/>
        <v>7.3199776564161843</v>
      </c>
      <c r="AQ53" s="102">
        <f t="shared" si="76"/>
        <v>4.9405692997035133E-14</v>
      </c>
      <c r="AR53" s="102"/>
      <c r="AS53" s="102"/>
      <c r="AT53" s="102"/>
      <c r="AU53" s="102"/>
      <c r="AV53" s="102"/>
      <c r="AW53" s="102"/>
      <c r="AX53" s="102"/>
      <c r="AY53" s="102"/>
      <c r="AZ53" s="102"/>
      <c r="BA53" s="102"/>
      <c r="BB53" s="102"/>
      <c r="BC53" s="102"/>
      <c r="BD53" s="102"/>
      <c r="BE53" s="102"/>
      <c r="BF53" s="102"/>
      <c r="BG53" s="102"/>
      <c r="BH53" s="102"/>
      <c r="BI53" s="102"/>
    </row>
    <row r="54" spans="1:61" s="17" customFormat="1" hidden="1" outlineLevel="1" x14ac:dyDescent="0.25">
      <c r="A54" s="16" t="str">
        <f t="shared" si="72"/>
        <v xml:space="preserve">Debt Servicing </v>
      </c>
      <c r="B54" s="101">
        <f t="shared" si="73"/>
        <v>2378.9811957920315</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f>-PMT($AB$9/2,$AB$10*2,AB49)</f>
        <v>148.68632473700197</v>
      </c>
      <c r="AC54" s="102">
        <f t="shared" ref="AC54:AQ54" si="77">+AB54</f>
        <v>148.68632473700197</v>
      </c>
      <c r="AD54" s="102">
        <f t="shared" si="77"/>
        <v>148.68632473700197</v>
      </c>
      <c r="AE54" s="102">
        <f t="shared" si="77"/>
        <v>148.68632473700197</v>
      </c>
      <c r="AF54" s="102">
        <f t="shared" si="77"/>
        <v>148.68632473700197</v>
      </c>
      <c r="AG54" s="102">
        <f t="shared" si="77"/>
        <v>148.68632473700197</v>
      </c>
      <c r="AH54" s="102">
        <f t="shared" si="77"/>
        <v>148.68632473700197</v>
      </c>
      <c r="AI54" s="102">
        <f t="shared" si="77"/>
        <v>148.68632473700197</v>
      </c>
      <c r="AJ54" s="102">
        <f t="shared" si="77"/>
        <v>148.68632473700197</v>
      </c>
      <c r="AK54" s="102">
        <f t="shared" si="77"/>
        <v>148.68632473700197</v>
      </c>
      <c r="AL54" s="102">
        <f t="shared" si="77"/>
        <v>148.68632473700197</v>
      </c>
      <c r="AM54" s="102">
        <f t="shared" si="77"/>
        <v>148.68632473700197</v>
      </c>
      <c r="AN54" s="102">
        <f t="shared" si="77"/>
        <v>148.68632473700197</v>
      </c>
      <c r="AO54" s="102">
        <f t="shared" si="77"/>
        <v>148.68632473700197</v>
      </c>
      <c r="AP54" s="102">
        <f t="shared" si="77"/>
        <v>148.68632473700197</v>
      </c>
      <c r="AQ54" s="102">
        <f t="shared" si="77"/>
        <v>148.68632473700197</v>
      </c>
      <c r="AR54" s="102"/>
      <c r="AS54" s="102"/>
      <c r="AT54" s="102"/>
      <c r="AU54" s="102"/>
      <c r="AV54" s="102"/>
      <c r="AW54" s="102"/>
      <c r="AX54" s="102"/>
      <c r="AY54" s="102"/>
      <c r="AZ54" s="102"/>
      <c r="BA54" s="102"/>
      <c r="BB54" s="102"/>
      <c r="BC54" s="102"/>
      <c r="BD54" s="102"/>
      <c r="BE54" s="102"/>
      <c r="BF54" s="102"/>
      <c r="BG54" s="102"/>
      <c r="BH54" s="102"/>
      <c r="BI54" s="102"/>
    </row>
    <row r="55" spans="1:61" s="17" customFormat="1" hidden="1" outlineLevel="1" x14ac:dyDescent="0.25">
      <c r="A55" s="16" t="str">
        <f t="shared" si="72"/>
        <v xml:space="preserve">Debt Servicing </v>
      </c>
      <c r="B55" s="101">
        <f t="shared" si="73"/>
        <v>2081.6085463180275</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f t="shared" ref="AC55:AP55" si="78">+AC54</f>
        <v>148.68632473700197</v>
      </c>
      <c r="AD55" s="102">
        <f t="shared" si="78"/>
        <v>148.68632473700197</v>
      </c>
      <c r="AE55" s="102">
        <f t="shared" si="78"/>
        <v>148.68632473700197</v>
      </c>
      <c r="AF55" s="102">
        <f t="shared" si="78"/>
        <v>148.68632473700197</v>
      </c>
      <c r="AG55" s="102">
        <f t="shared" si="78"/>
        <v>148.68632473700197</v>
      </c>
      <c r="AH55" s="102">
        <f t="shared" si="78"/>
        <v>148.68632473700197</v>
      </c>
      <c r="AI55" s="102">
        <f t="shared" si="78"/>
        <v>148.68632473700197</v>
      </c>
      <c r="AJ55" s="102">
        <f t="shared" si="78"/>
        <v>148.68632473700197</v>
      </c>
      <c r="AK55" s="102">
        <f t="shared" si="78"/>
        <v>148.68632473700197</v>
      </c>
      <c r="AL55" s="102">
        <f t="shared" si="78"/>
        <v>148.68632473700197</v>
      </c>
      <c r="AM55" s="102">
        <f t="shared" si="78"/>
        <v>148.68632473700197</v>
      </c>
      <c r="AN55" s="102">
        <f t="shared" si="78"/>
        <v>148.68632473700197</v>
      </c>
      <c r="AO55" s="102">
        <f t="shared" si="78"/>
        <v>148.68632473700197</v>
      </c>
      <c r="AP55" s="102">
        <f t="shared" si="78"/>
        <v>148.68632473700197</v>
      </c>
      <c r="AQ55" s="102"/>
      <c r="AR55" s="102"/>
      <c r="AS55" s="102"/>
      <c r="AT55" s="102"/>
      <c r="AU55" s="102"/>
      <c r="AV55" s="102"/>
      <c r="AW55" s="102"/>
      <c r="AX55" s="102"/>
      <c r="AY55" s="102"/>
      <c r="AZ55" s="102"/>
      <c r="BA55" s="102"/>
      <c r="BB55" s="102"/>
      <c r="BC55" s="102"/>
      <c r="BD55" s="102"/>
      <c r="BE55" s="102"/>
      <c r="BF55" s="102"/>
      <c r="BG55" s="102"/>
      <c r="BH55" s="102"/>
      <c r="BI55" s="102"/>
    </row>
    <row r="56" spans="1:61" s="17" customFormat="1" hidden="1" outlineLevel="1" x14ac:dyDescent="0.25">
      <c r="A56" s="16" t="str">
        <f t="shared" si="72"/>
        <v>Balance mid year</v>
      </c>
      <c r="B56" s="101">
        <f t="shared" si="73"/>
        <v>24504.82806323086</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v>0</v>
      </c>
      <c r="AC56" s="102">
        <f t="shared" ref="AC56:AQ56" si="79">+AB57-AC50</f>
        <v>2947.5651091637224</v>
      </c>
      <c r="AD56" s="102">
        <f t="shared" si="79"/>
        <v>2799.0170475015866</v>
      </c>
      <c r="AE56" s="102">
        <f t="shared" si="79"/>
        <v>2642.7771375691482</v>
      </c>
      <c r="AF56" s="102">
        <f t="shared" si="79"/>
        <v>2478.4470939283387</v>
      </c>
      <c r="AG56" s="102">
        <f t="shared" si="79"/>
        <v>2305.608007841643</v>
      </c>
      <c r="AH56" s="102">
        <f t="shared" si="79"/>
        <v>2123.8192793935386</v>
      </c>
      <c r="AI56" s="102">
        <f t="shared" si="79"/>
        <v>1932.6174943169719</v>
      </c>
      <c r="AJ56" s="102">
        <f t="shared" si="79"/>
        <v>1731.5152426616833</v>
      </c>
      <c r="AK56" s="102">
        <f t="shared" si="79"/>
        <v>1519.9998762929436</v>
      </c>
      <c r="AL56" s="102">
        <f t="shared" si="79"/>
        <v>1297.5322020533267</v>
      </c>
      <c r="AM56" s="102">
        <f t="shared" si="79"/>
        <v>1063.5451072561386</v>
      </c>
      <c r="AN56" s="102">
        <f t="shared" si="79"/>
        <v>817.44211400662084</v>
      </c>
      <c r="AO56" s="102">
        <f t="shared" si="79"/>
        <v>558.59585866561918</v>
      </c>
      <c r="AP56" s="102">
        <f t="shared" si="79"/>
        <v>286.34649257957562</v>
      </c>
      <c r="AQ56" s="102">
        <f t="shared" si="79"/>
        <v>1.9326762412674725E-12</v>
      </c>
      <c r="AR56" s="102"/>
      <c r="AS56" s="102"/>
      <c r="AT56" s="102"/>
      <c r="AU56" s="102"/>
      <c r="AV56" s="102"/>
      <c r="AW56" s="102"/>
      <c r="AX56" s="102"/>
      <c r="AY56" s="102"/>
      <c r="AZ56" s="102"/>
      <c r="BA56" s="102"/>
      <c r="BB56" s="102"/>
      <c r="BC56" s="102"/>
      <c r="BD56" s="102"/>
      <c r="BE56" s="102"/>
      <c r="BF56" s="102"/>
      <c r="BG56" s="102"/>
      <c r="BH56" s="102"/>
      <c r="BI56" s="102"/>
    </row>
    <row r="57" spans="1:61" s="17" customFormat="1" hidden="1" outlineLevel="1" x14ac:dyDescent="0.25">
      <c r="A57" s="16" t="str">
        <f t="shared" si="72"/>
        <v>Balance</v>
      </c>
      <c r="B57" s="101">
        <f t="shared" si="73"/>
        <v>26068.718961223367</v>
      </c>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f>+AB49-AB50</f>
        <v>3019.0737728058552</v>
      </c>
      <c r="AC57" s="102">
        <f t="shared" ref="AC57:AQ57" si="80">+AC56-AC51</f>
        <v>2874.2284440140975</v>
      </c>
      <c r="AD57" s="102">
        <f t="shared" si="80"/>
        <v>2721.8829951988132</v>
      </c>
      <c r="AE57" s="102">
        <f t="shared" si="80"/>
        <v>2561.6490686488041</v>
      </c>
      <c r="AF57" s="102">
        <f t="shared" si="80"/>
        <v>2393.1181974131032</v>
      </c>
      <c r="AG57" s="102">
        <f t="shared" si="80"/>
        <v>2215.8607640405285</v>
      </c>
      <c r="AH57" s="102">
        <f t="shared" si="80"/>
        <v>2029.4249054025593</v>
      </c>
      <c r="AI57" s="102">
        <f t="shared" si="80"/>
        <v>1833.3353608077284</v>
      </c>
      <c r="AJ57" s="102">
        <f t="shared" si="80"/>
        <v>1627.0922604711429</v>
      </c>
      <c r="AK57" s="102">
        <f t="shared" si="80"/>
        <v>1410.1698512507169</v>
      </c>
      <c r="AL57" s="102">
        <f t="shared" si="80"/>
        <v>1182.0151564017719</v>
      </c>
      <c r="AM57" s="102">
        <f t="shared" si="80"/>
        <v>942.04656593346363</v>
      </c>
      <c r="AN57" s="102">
        <f t="shared" si="80"/>
        <v>689.65235397358231</v>
      </c>
      <c r="AO57" s="102">
        <f t="shared" si="80"/>
        <v>424.18911936220741</v>
      </c>
      <c r="AP57" s="102">
        <f t="shared" si="80"/>
        <v>144.98014549898983</v>
      </c>
      <c r="AQ57" s="102">
        <f t="shared" si="80"/>
        <v>1.9820819342645075E-12</v>
      </c>
      <c r="AR57" s="102"/>
      <c r="AS57" s="102"/>
      <c r="AT57" s="102"/>
      <c r="AU57" s="102"/>
      <c r="AV57" s="102"/>
      <c r="AW57" s="102"/>
      <c r="AX57" s="102"/>
      <c r="AY57" s="102"/>
      <c r="AZ57" s="102"/>
      <c r="BA57" s="102"/>
      <c r="BB57" s="102"/>
      <c r="BC57" s="102"/>
      <c r="BD57" s="102"/>
      <c r="BE57" s="102"/>
      <c r="BF57" s="102"/>
      <c r="BG57" s="102"/>
      <c r="BH57" s="102"/>
      <c r="BI57" s="102"/>
    </row>
    <row r="58" spans="1:61" s="17" customFormat="1" hidden="1" outlineLevel="1" x14ac:dyDescent="0.25">
      <c r="A58" s="16"/>
      <c r="B58" s="101">
        <f t="shared" si="73"/>
        <v>0</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row>
    <row r="59" spans="1:61" hidden="1" outlineLevel="1" x14ac:dyDescent="0.25">
      <c r="A59" s="20" t="str">
        <f t="shared" ref="A59:A67" si="81">A49</f>
        <v>Debt Forecasted</v>
      </c>
      <c r="B59" s="101">
        <f t="shared" si="73"/>
        <v>12230.4</v>
      </c>
      <c r="C59" s="102">
        <v>0</v>
      </c>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f>+AC$8</f>
        <v>12230.4</v>
      </c>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row>
    <row r="60" spans="1:61" s="17" customFormat="1" hidden="1" outlineLevel="1" x14ac:dyDescent="0.25">
      <c r="A60" s="16" t="str">
        <f t="shared" si="81"/>
        <v>Principal</v>
      </c>
      <c r="B60" s="101">
        <f t="shared" si="73"/>
        <v>6467.9239536329414</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f>+AC64-AC62</f>
        <v>274.4123592198813</v>
      </c>
      <c r="AD60" s="102">
        <f>+AD64-AD62</f>
        <v>281.53181147189588</v>
      </c>
      <c r="AE60" s="102">
        <f t="shared" ref="AE60:AR61" si="82">+AE64-AE62</f>
        <v>296.32963698372697</v>
      </c>
      <c r="AF60" s="102">
        <f t="shared" si="82"/>
        <v>311.90526319500214</v>
      </c>
      <c r="AG60" s="102">
        <f t="shared" si="82"/>
        <v>328.2995727291563</v>
      </c>
      <c r="AH60" s="102">
        <f t="shared" si="82"/>
        <v>345.5555970748801</v>
      </c>
      <c r="AI60" s="102">
        <f t="shared" si="82"/>
        <v>363.71862953439722</v>
      </c>
      <c r="AJ60" s="102">
        <f t="shared" si="82"/>
        <v>382.83634410850891</v>
      </c>
      <c r="AK60" s="102">
        <f t="shared" si="82"/>
        <v>402.95892063045403</v>
      </c>
      <c r="AL60" s="102">
        <f t="shared" si="82"/>
        <v>424.13917647703181</v>
      </c>
      <c r="AM60" s="102">
        <f t="shared" si="82"/>
        <v>446.43270520270266</v>
      </c>
      <c r="AN60" s="102">
        <f t="shared" si="82"/>
        <v>469.89802246054938</v>
      </c>
      <c r="AO60" s="102">
        <f t="shared" si="82"/>
        <v>494.59671959311072</v>
      </c>
      <c r="AP60" s="102">
        <f t="shared" si="82"/>
        <v>520.59362529622877</v>
      </c>
      <c r="AQ60" s="102">
        <f t="shared" si="82"/>
        <v>547.95697578024408</v>
      </c>
      <c r="AR60" s="102">
        <f t="shared" si="82"/>
        <v>576.75859387517164</v>
      </c>
      <c r="AS60" s="102"/>
      <c r="AT60" s="102"/>
      <c r="AU60" s="102"/>
      <c r="AV60" s="102"/>
      <c r="AW60" s="102"/>
      <c r="AX60" s="102"/>
      <c r="AY60" s="102"/>
      <c r="AZ60" s="102"/>
      <c r="BA60" s="102"/>
      <c r="BB60" s="102"/>
      <c r="BC60" s="102"/>
      <c r="BD60" s="102"/>
      <c r="BE60" s="102"/>
      <c r="BF60" s="102"/>
      <c r="BG60" s="102"/>
      <c r="BH60" s="102"/>
      <c r="BI60" s="102"/>
    </row>
    <row r="61" spans="1:61" s="17" customFormat="1" hidden="1" outlineLevel="1" x14ac:dyDescent="0.25">
      <c r="A61" s="16" t="str">
        <f t="shared" si="81"/>
        <v>Principal</v>
      </c>
      <c r="B61" s="101">
        <f t="shared" si="73"/>
        <v>5762.4760463670591</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f>+AD65-AD63</f>
        <v>288.83597333579831</v>
      </c>
      <c r="AE61" s="102">
        <f t="shared" si="82"/>
        <v>304.01771891764599</v>
      </c>
      <c r="AF61" s="102">
        <f t="shared" si="82"/>
        <v>319.99744473807016</v>
      </c>
      <c r="AG61" s="102">
        <f t="shared" si="82"/>
        <v>336.81709409388895</v>
      </c>
      <c r="AH61" s="102">
        <f t="shared" si="82"/>
        <v>354.52081489810405</v>
      </c>
      <c r="AI61" s="102">
        <f t="shared" si="82"/>
        <v>373.15507555854811</v>
      </c>
      <c r="AJ61" s="102">
        <f t="shared" si="82"/>
        <v>392.76878694732585</v>
      </c>
      <c r="AK61" s="102">
        <f t="shared" si="82"/>
        <v>413.41343078119075</v>
      </c>
      <c r="AL61" s="102">
        <f t="shared" si="82"/>
        <v>435.14319474982926</v>
      </c>
      <c r="AM61" s="102">
        <f t="shared" si="82"/>
        <v>458.01511474673345</v>
      </c>
      <c r="AN61" s="102">
        <f t="shared" si="82"/>
        <v>482.08922457598817</v>
      </c>
      <c r="AO61" s="102">
        <f t="shared" si="82"/>
        <v>507.42871352791991</v>
      </c>
      <c r="AP61" s="102">
        <f t="shared" si="82"/>
        <v>534.10009223720897</v>
      </c>
      <c r="AQ61" s="102">
        <f t="shared" si="82"/>
        <v>562.17336725880659</v>
      </c>
      <c r="AR61" s="102">
        <f t="shared" si="82"/>
        <v>-3.8343914963791442E-14</v>
      </c>
      <c r="AS61" s="102"/>
      <c r="AT61" s="102"/>
      <c r="AU61" s="102"/>
      <c r="AV61" s="102"/>
      <c r="AW61" s="102"/>
      <c r="AX61" s="102"/>
      <c r="AY61" s="102"/>
      <c r="AZ61" s="102"/>
      <c r="BA61" s="102"/>
      <c r="BB61" s="102"/>
      <c r="BC61" s="102"/>
      <c r="BD61" s="102"/>
      <c r="BE61" s="102"/>
      <c r="BF61" s="102"/>
      <c r="BG61" s="102"/>
      <c r="BH61" s="102"/>
      <c r="BI61" s="102"/>
    </row>
    <row r="62" spans="1:61" s="17" customFormat="1" hidden="1" outlineLevel="1" x14ac:dyDescent="0.25">
      <c r="A62" s="16" t="str">
        <f t="shared" si="81"/>
        <v>Interest</v>
      </c>
      <c r="B62" s="101">
        <f t="shared" si="73"/>
        <v>2999.6316434851587</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f>+AC59*(AC$9/2)</f>
        <v>317.30986559999997</v>
      </c>
      <c r="AD62" s="102">
        <f>+AC67*AC$9/2</f>
        <v>310.19041334798538</v>
      </c>
      <c r="AE62" s="102">
        <f>+AD67*AC$9/2</f>
        <v>295.39258783615429</v>
      </c>
      <c r="AF62" s="102">
        <f>+AE67*AC$9/2</f>
        <v>279.81696162487913</v>
      </c>
      <c r="AG62" s="102">
        <f>+AF67*AC$9/2</f>
        <v>263.42265209072497</v>
      </c>
      <c r="AH62" s="102">
        <f>+AG67*AC$9/2</f>
        <v>246.16662774500114</v>
      </c>
      <c r="AI62" s="102">
        <f>+AH67*AC$9/2</f>
        <v>228.00359528548407</v>
      </c>
      <c r="AJ62" s="102">
        <f>+AI67*AC$9/2</f>
        <v>208.88588071137232</v>
      </c>
      <c r="AK62" s="102">
        <f>+AJ67*AC$9/2</f>
        <v>188.76330418942723</v>
      </c>
      <c r="AL62" s="102">
        <f>+AK67*AC$9/2</f>
        <v>167.58304834284942</v>
      </c>
      <c r="AM62" s="102">
        <f>+AL67*AC$9/2</f>
        <v>145.2895196171786</v>
      </c>
      <c r="AN62" s="102">
        <f>+AM67*AC$9/2</f>
        <v>121.82420235933186</v>
      </c>
      <c r="AO62" s="102">
        <f>+AN67*AC$9/2</f>
        <v>97.125505226770571</v>
      </c>
      <c r="AP62" s="102">
        <f>+AO67*AC$9/2</f>
        <v>71.12859952365244</v>
      </c>
      <c r="AQ62" s="102">
        <f>+AP67*AC$9/2</f>
        <v>43.765249039637233</v>
      </c>
      <c r="AR62" s="102">
        <f>+AQ67*AC$9/2</f>
        <v>14.963630944709589</v>
      </c>
      <c r="AS62" s="102"/>
      <c r="AT62" s="102"/>
      <c r="AU62" s="102"/>
      <c r="AV62" s="102"/>
      <c r="AW62" s="102"/>
      <c r="AX62" s="102"/>
      <c r="AY62" s="102"/>
      <c r="AZ62" s="102"/>
      <c r="BA62" s="102"/>
      <c r="BB62" s="102"/>
      <c r="BC62" s="102"/>
      <c r="BD62" s="102"/>
      <c r="BE62" s="102"/>
      <c r="BF62" s="102"/>
      <c r="BG62" s="102"/>
      <c r="BH62" s="102"/>
      <c r="BI62" s="102"/>
    </row>
    <row r="63" spans="1:61" s="17" customFormat="1" hidden="1" outlineLevel="1" x14ac:dyDescent="0.25">
      <c r="A63" s="16" t="str">
        <f t="shared" si="81"/>
        <v>Interest</v>
      </c>
      <c r="B63" s="101">
        <f t="shared" si="73"/>
        <v>2521.6351011112793</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f>+AD66*AC$9/2</f>
        <v>302.88625148408295</v>
      </c>
      <c r="AE63" s="102">
        <f>+AE66*AC$9/2</f>
        <v>287.70450590223527</v>
      </c>
      <c r="AF63" s="102">
        <f>+AF66*AC$9/2</f>
        <v>271.7247800818111</v>
      </c>
      <c r="AG63" s="102">
        <f>+AG66*AC$9/2</f>
        <v>254.90513072599231</v>
      </c>
      <c r="AH63" s="102">
        <f>+AH66*AC$9/2</f>
        <v>237.20140992177724</v>
      </c>
      <c r="AI63" s="102">
        <f>+AI66*AC$9/2</f>
        <v>218.56714926133316</v>
      </c>
      <c r="AJ63" s="102">
        <f>+AJ66*AC$9/2</f>
        <v>198.95343787255541</v>
      </c>
      <c r="AK63" s="102">
        <f>+AK66*AC$9/2</f>
        <v>178.30879403869048</v>
      </c>
      <c r="AL63" s="102">
        <f>+AL66*AC$9/2</f>
        <v>156.579030070052</v>
      </c>
      <c r="AM63" s="102">
        <f>+AM66*AC$9/2</f>
        <v>133.70711007314782</v>
      </c>
      <c r="AN63" s="102">
        <f>+AN66*AC$9/2</f>
        <v>109.63300024389306</v>
      </c>
      <c r="AO63" s="102">
        <f>+AO66*AC$9/2</f>
        <v>84.293511291961337</v>
      </c>
      <c r="AP63" s="102">
        <f>+AP66*AC$9/2</f>
        <v>57.622132582672329</v>
      </c>
      <c r="AQ63" s="102">
        <f>+AQ66*AC$9/2</f>
        <v>29.548857561074659</v>
      </c>
      <c r="AR63" s="102">
        <f>+AR66*AC$9/2</f>
        <v>3.8343914963791442E-14</v>
      </c>
      <c r="AS63" s="102"/>
      <c r="AT63" s="102"/>
      <c r="AU63" s="102"/>
      <c r="AV63" s="102"/>
      <c r="AW63" s="102"/>
      <c r="AX63" s="102"/>
      <c r="AY63" s="102"/>
      <c r="AZ63" s="102"/>
      <c r="BA63" s="102"/>
      <c r="BB63" s="102"/>
      <c r="BC63" s="102"/>
      <c r="BD63" s="102"/>
      <c r="BE63" s="102"/>
      <c r="BF63" s="102"/>
      <c r="BG63" s="102"/>
      <c r="BH63" s="102"/>
      <c r="BI63" s="102"/>
    </row>
    <row r="64" spans="1:61" s="17" customFormat="1" hidden="1" outlineLevel="1" x14ac:dyDescent="0.25">
      <c r="A64" s="16" t="str">
        <f t="shared" si="81"/>
        <v xml:space="preserve">Debt Servicing </v>
      </c>
      <c r="B64" s="101">
        <f t="shared" si="73"/>
        <v>9467.5555971181002</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f>-PMT($AC$9/2,$AC$10*2,AC59)</f>
        <v>591.72222481988126</v>
      </c>
      <c r="AD64" s="102">
        <f t="shared" ref="AD64:AR64" si="83">+AC64</f>
        <v>591.72222481988126</v>
      </c>
      <c r="AE64" s="102">
        <f t="shared" si="83"/>
        <v>591.72222481988126</v>
      </c>
      <c r="AF64" s="102">
        <f t="shared" si="83"/>
        <v>591.72222481988126</v>
      </c>
      <c r="AG64" s="102">
        <f t="shared" si="83"/>
        <v>591.72222481988126</v>
      </c>
      <c r="AH64" s="102">
        <f t="shared" si="83"/>
        <v>591.72222481988126</v>
      </c>
      <c r="AI64" s="102">
        <f t="shared" si="83"/>
        <v>591.72222481988126</v>
      </c>
      <c r="AJ64" s="102">
        <f t="shared" si="83"/>
        <v>591.72222481988126</v>
      </c>
      <c r="AK64" s="102">
        <f t="shared" si="83"/>
        <v>591.72222481988126</v>
      </c>
      <c r="AL64" s="102">
        <f t="shared" si="83"/>
        <v>591.72222481988126</v>
      </c>
      <c r="AM64" s="102">
        <f t="shared" si="83"/>
        <v>591.72222481988126</v>
      </c>
      <c r="AN64" s="102">
        <f t="shared" si="83"/>
        <v>591.72222481988126</v>
      </c>
      <c r="AO64" s="102">
        <f t="shared" si="83"/>
        <v>591.72222481988126</v>
      </c>
      <c r="AP64" s="102">
        <f t="shared" si="83"/>
        <v>591.72222481988126</v>
      </c>
      <c r="AQ64" s="102">
        <f t="shared" si="83"/>
        <v>591.72222481988126</v>
      </c>
      <c r="AR64" s="102">
        <f t="shared" si="83"/>
        <v>591.72222481988126</v>
      </c>
      <c r="AS64" s="102"/>
      <c r="AT64" s="102"/>
      <c r="AU64" s="102"/>
      <c r="AV64" s="102"/>
      <c r="AW64" s="102"/>
      <c r="AX64" s="102"/>
      <c r="AY64" s="102"/>
      <c r="AZ64" s="102"/>
      <c r="BA64" s="102"/>
      <c r="BB64" s="102"/>
      <c r="BC64" s="102"/>
      <c r="BD64" s="102"/>
      <c r="BE64" s="102"/>
      <c r="BF64" s="102"/>
      <c r="BG64" s="102"/>
      <c r="BH64" s="102"/>
      <c r="BI64" s="102"/>
    </row>
    <row r="65" spans="1:61" s="17" customFormat="1" hidden="1" outlineLevel="1" x14ac:dyDescent="0.25">
      <c r="A65" s="16" t="str">
        <f t="shared" si="81"/>
        <v xml:space="preserve">Debt Servicing </v>
      </c>
      <c r="B65" s="101">
        <f t="shared" si="73"/>
        <v>8284.1111474783374</v>
      </c>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f t="shared" ref="AD65:AQ65" si="84">+AD64</f>
        <v>591.72222481988126</v>
      </c>
      <c r="AE65" s="102">
        <f t="shared" si="84"/>
        <v>591.72222481988126</v>
      </c>
      <c r="AF65" s="102">
        <f t="shared" si="84"/>
        <v>591.72222481988126</v>
      </c>
      <c r="AG65" s="102">
        <f t="shared" si="84"/>
        <v>591.72222481988126</v>
      </c>
      <c r="AH65" s="102">
        <f t="shared" si="84"/>
        <v>591.72222481988126</v>
      </c>
      <c r="AI65" s="102">
        <f t="shared" si="84"/>
        <v>591.72222481988126</v>
      </c>
      <c r="AJ65" s="102">
        <f t="shared" si="84"/>
        <v>591.72222481988126</v>
      </c>
      <c r="AK65" s="102">
        <f t="shared" si="84"/>
        <v>591.72222481988126</v>
      </c>
      <c r="AL65" s="102">
        <f t="shared" si="84"/>
        <v>591.72222481988126</v>
      </c>
      <c r="AM65" s="102">
        <f t="shared" si="84"/>
        <v>591.72222481988126</v>
      </c>
      <c r="AN65" s="102">
        <f t="shared" si="84"/>
        <v>591.72222481988126</v>
      </c>
      <c r="AO65" s="102">
        <f t="shared" si="84"/>
        <v>591.72222481988126</v>
      </c>
      <c r="AP65" s="102">
        <f t="shared" si="84"/>
        <v>591.72222481988126</v>
      </c>
      <c r="AQ65" s="102">
        <f t="shared" si="84"/>
        <v>591.72222481988126</v>
      </c>
      <c r="AR65" s="102"/>
      <c r="AS65" s="102"/>
      <c r="AT65" s="102"/>
      <c r="AU65" s="102"/>
      <c r="AV65" s="102"/>
      <c r="AW65" s="102"/>
      <c r="AX65" s="102"/>
      <c r="AY65" s="102"/>
      <c r="AZ65" s="102"/>
      <c r="BA65" s="102"/>
      <c r="BB65" s="102"/>
      <c r="BC65" s="102"/>
      <c r="BD65" s="102"/>
      <c r="BE65" s="102"/>
      <c r="BF65" s="102"/>
      <c r="BG65" s="102"/>
      <c r="BH65" s="102"/>
      <c r="BI65" s="102"/>
    </row>
    <row r="66" spans="1:61" s="17" customFormat="1" hidden="1" outlineLevel="1" x14ac:dyDescent="0.25">
      <c r="A66" s="16" t="str">
        <f t="shared" si="81"/>
        <v>Balance mid year</v>
      </c>
      <c r="B66" s="101">
        <f t="shared" si="73"/>
        <v>97193.971206394766</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v>0</v>
      </c>
      <c r="AD66" s="102">
        <f t="shared" ref="AD66:AR66" si="85">+AC67-AD60</f>
        <v>11674.455829308223</v>
      </c>
      <c r="AE66" s="102">
        <f t="shared" si="85"/>
        <v>11089.290218988699</v>
      </c>
      <c r="AF66" s="102">
        <f t="shared" si="85"/>
        <v>10473.367236876051</v>
      </c>
      <c r="AG66" s="102">
        <f t="shared" si="85"/>
        <v>9825.0702194088244</v>
      </c>
      <c r="AH66" s="102">
        <f t="shared" si="85"/>
        <v>9142.6975282400563</v>
      </c>
      <c r="AI66" s="102">
        <f t="shared" si="85"/>
        <v>8424.4580838075562</v>
      </c>
      <c r="AJ66" s="102">
        <f t="shared" si="85"/>
        <v>7668.4666641404983</v>
      </c>
      <c r="AK66" s="102">
        <f t="shared" si="85"/>
        <v>6872.7389565627182</v>
      </c>
      <c r="AL66" s="102">
        <f t="shared" si="85"/>
        <v>6035.1863493044957</v>
      </c>
      <c r="AM66" s="102">
        <f t="shared" si="85"/>
        <v>5153.6104493519633</v>
      </c>
      <c r="AN66" s="102">
        <f t="shared" si="85"/>
        <v>4225.6973121446808</v>
      </c>
      <c r="AO66" s="102">
        <f t="shared" si="85"/>
        <v>3249.0113679755818</v>
      </c>
      <c r="AP66" s="102">
        <f t="shared" si="85"/>
        <v>2220.989029151433</v>
      </c>
      <c r="AQ66" s="102">
        <f t="shared" si="85"/>
        <v>1138.9319611339797</v>
      </c>
      <c r="AR66" s="102">
        <f t="shared" si="85"/>
        <v>1.4779288903810084E-12</v>
      </c>
      <c r="AS66" s="102"/>
      <c r="AT66" s="102"/>
      <c r="AU66" s="102"/>
      <c r="AV66" s="102"/>
      <c r="AW66" s="102"/>
      <c r="AX66" s="102"/>
      <c r="AY66" s="102"/>
      <c r="AZ66" s="102"/>
      <c r="BA66" s="102"/>
      <c r="BB66" s="102"/>
      <c r="BC66" s="102"/>
      <c r="BD66" s="102"/>
      <c r="BE66" s="102"/>
      <c r="BF66" s="102"/>
      <c r="BG66" s="102"/>
      <c r="BH66" s="102"/>
      <c r="BI66" s="102"/>
    </row>
    <row r="67" spans="1:61" s="17" customFormat="1" hidden="1" outlineLevel="1" x14ac:dyDescent="0.25">
      <c r="A67" s="16" t="str">
        <f t="shared" si="81"/>
        <v>Balance</v>
      </c>
      <c r="B67" s="101">
        <f t="shared" si="73"/>
        <v>103387.4828008078</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f>+AC59-AC60</f>
        <v>11955.987640780118</v>
      </c>
      <c r="AD67" s="102">
        <f t="shared" ref="AD67:AR67" si="86">+AD66-AD61</f>
        <v>11385.619855972425</v>
      </c>
      <c r="AE67" s="102">
        <f t="shared" si="86"/>
        <v>10785.272500071052</v>
      </c>
      <c r="AF67" s="102">
        <f t="shared" si="86"/>
        <v>10153.369792137981</v>
      </c>
      <c r="AG67" s="102">
        <f t="shared" si="86"/>
        <v>9488.2531253149355</v>
      </c>
      <c r="AH67" s="102">
        <f t="shared" si="86"/>
        <v>8788.1767133419526</v>
      </c>
      <c r="AI67" s="102">
        <f t="shared" si="86"/>
        <v>8051.3030082490077</v>
      </c>
      <c r="AJ67" s="102">
        <f t="shared" si="86"/>
        <v>7275.6978771931726</v>
      </c>
      <c r="AK67" s="102">
        <f t="shared" si="86"/>
        <v>6459.3255257815272</v>
      </c>
      <c r="AL67" s="102">
        <f t="shared" si="86"/>
        <v>5600.0431545546662</v>
      </c>
      <c r="AM67" s="102">
        <f t="shared" si="86"/>
        <v>4695.5953346052302</v>
      </c>
      <c r="AN67" s="102">
        <f t="shared" si="86"/>
        <v>3743.6080875686926</v>
      </c>
      <c r="AO67" s="102">
        <f t="shared" si="86"/>
        <v>2741.5826544476618</v>
      </c>
      <c r="AP67" s="102">
        <f t="shared" si="86"/>
        <v>1686.8889369142239</v>
      </c>
      <c r="AQ67" s="102">
        <f t="shared" si="86"/>
        <v>576.75859387517312</v>
      </c>
      <c r="AR67" s="102">
        <f t="shared" si="86"/>
        <v>1.5162728053447998E-12</v>
      </c>
      <c r="AS67" s="102"/>
      <c r="AT67" s="102"/>
      <c r="AU67" s="102"/>
      <c r="AV67" s="102"/>
      <c r="AW67" s="102"/>
      <c r="AX67" s="102"/>
      <c r="AY67" s="102"/>
      <c r="AZ67" s="102"/>
      <c r="BA67" s="102"/>
      <c r="BB67" s="102"/>
      <c r="BC67" s="102"/>
      <c r="BD67" s="102"/>
      <c r="BE67" s="102"/>
      <c r="BF67" s="102"/>
      <c r="BG67" s="102"/>
      <c r="BH67" s="102"/>
      <c r="BI67" s="102"/>
    </row>
    <row r="68" spans="1:61" s="17" customFormat="1" hidden="1" outlineLevel="1" x14ac:dyDescent="0.25">
      <c r="A68" s="16"/>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row>
    <row r="69" spans="1:61" hidden="1" outlineLevel="1" x14ac:dyDescent="0.25">
      <c r="A69" s="20" t="s">
        <v>226</v>
      </c>
      <c r="B69" s="101">
        <f t="shared" ref="B69:B78" si="87">SUM(C69:BB69)</f>
        <v>0</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f>AD8</f>
        <v>0</v>
      </c>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row>
    <row r="70" spans="1:61" s="17" customFormat="1" hidden="1" outlineLevel="1" x14ac:dyDescent="0.25">
      <c r="A70" s="16" t="s">
        <v>163</v>
      </c>
      <c r="B70" s="101">
        <f t="shared" si="87"/>
        <v>0</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f>+AD74-AD72</f>
        <v>0</v>
      </c>
      <c r="AE70" s="102">
        <f>+AE74-AE72</f>
        <v>0</v>
      </c>
      <c r="AF70" s="102">
        <f t="shared" ref="AF70:AS71" si="88">+AF74-AF72</f>
        <v>0</v>
      </c>
      <c r="AG70" s="102">
        <f t="shared" si="88"/>
        <v>0</v>
      </c>
      <c r="AH70" s="102">
        <f t="shared" si="88"/>
        <v>0</v>
      </c>
      <c r="AI70" s="102">
        <f t="shared" si="88"/>
        <v>0</v>
      </c>
      <c r="AJ70" s="102">
        <f t="shared" si="88"/>
        <v>0</v>
      </c>
      <c r="AK70" s="102">
        <f t="shared" si="88"/>
        <v>0</v>
      </c>
      <c r="AL70" s="102">
        <f t="shared" si="88"/>
        <v>0</v>
      </c>
      <c r="AM70" s="102">
        <f t="shared" si="88"/>
        <v>0</v>
      </c>
      <c r="AN70" s="102">
        <f t="shared" si="88"/>
        <v>0</v>
      </c>
      <c r="AO70" s="102">
        <f t="shared" si="88"/>
        <v>0</v>
      </c>
      <c r="AP70" s="102">
        <f t="shared" si="88"/>
        <v>0</v>
      </c>
      <c r="AQ70" s="102">
        <f t="shared" si="88"/>
        <v>0</v>
      </c>
      <c r="AR70" s="102">
        <f t="shared" si="88"/>
        <v>0</v>
      </c>
      <c r="AS70" s="102">
        <f t="shared" si="88"/>
        <v>0</v>
      </c>
      <c r="AT70" s="102"/>
      <c r="AU70" s="102"/>
      <c r="AV70" s="102"/>
      <c r="AW70" s="102"/>
      <c r="AX70" s="102"/>
      <c r="AY70" s="102"/>
      <c r="AZ70" s="102"/>
      <c r="BA70" s="102"/>
      <c r="BB70" s="102"/>
      <c r="BC70" s="102"/>
      <c r="BD70" s="102"/>
      <c r="BE70" s="102"/>
      <c r="BF70" s="102"/>
      <c r="BG70" s="102"/>
      <c r="BH70" s="102"/>
      <c r="BI70" s="102"/>
    </row>
    <row r="71" spans="1:61" s="17" customFormat="1" hidden="1" outlineLevel="1" x14ac:dyDescent="0.25">
      <c r="A71" s="16" t="s">
        <v>163</v>
      </c>
      <c r="B71" s="101">
        <f t="shared" si="87"/>
        <v>0</v>
      </c>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f>+AE75-AE73</f>
        <v>0</v>
      </c>
      <c r="AF71" s="102">
        <f t="shared" si="88"/>
        <v>0</v>
      </c>
      <c r="AG71" s="102">
        <f t="shared" si="88"/>
        <v>0</v>
      </c>
      <c r="AH71" s="102">
        <f t="shared" si="88"/>
        <v>0</v>
      </c>
      <c r="AI71" s="102">
        <f t="shared" si="88"/>
        <v>0</v>
      </c>
      <c r="AJ71" s="102">
        <f t="shared" si="88"/>
        <v>0</v>
      </c>
      <c r="AK71" s="102">
        <f t="shared" si="88"/>
        <v>0</v>
      </c>
      <c r="AL71" s="102">
        <f t="shared" si="88"/>
        <v>0</v>
      </c>
      <c r="AM71" s="102">
        <f t="shared" si="88"/>
        <v>0</v>
      </c>
      <c r="AN71" s="102">
        <f t="shared" si="88"/>
        <v>0</v>
      </c>
      <c r="AO71" s="102">
        <f t="shared" si="88"/>
        <v>0</v>
      </c>
      <c r="AP71" s="102">
        <f t="shared" si="88"/>
        <v>0</v>
      </c>
      <c r="AQ71" s="102">
        <f t="shared" si="88"/>
        <v>0</v>
      </c>
      <c r="AR71" s="102">
        <f t="shared" si="88"/>
        <v>0</v>
      </c>
      <c r="AS71" s="102">
        <f t="shared" si="88"/>
        <v>0</v>
      </c>
      <c r="AT71" s="102"/>
      <c r="AU71" s="102"/>
      <c r="AV71" s="102"/>
      <c r="AW71" s="102"/>
      <c r="AX71" s="102"/>
      <c r="AY71" s="102"/>
      <c r="AZ71" s="102"/>
      <c r="BA71" s="102"/>
      <c r="BB71" s="102"/>
      <c r="BC71" s="102"/>
      <c r="BD71" s="102"/>
      <c r="BE71" s="102"/>
      <c r="BF71" s="102"/>
      <c r="BG71" s="102"/>
      <c r="BH71" s="102"/>
      <c r="BI71" s="102"/>
    </row>
    <row r="72" spans="1:61" s="17" customFormat="1" hidden="1" outlineLevel="1" x14ac:dyDescent="0.25">
      <c r="A72" s="16" t="s">
        <v>164</v>
      </c>
      <c r="B72" s="101">
        <f t="shared" si="87"/>
        <v>0</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f>AD69*AD9/2</f>
        <v>0</v>
      </c>
      <c r="AE72" s="102">
        <f>+AD77*$AD$9/2</f>
        <v>0</v>
      </c>
      <c r="AF72" s="102">
        <f t="shared" ref="AF72:AS72" si="89">+AE77*$AD$9/2</f>
        <v>0</v>
      </c>
      <c r="AG72" s="102">
        <f t="shared" si="89"/>
        <v>0</v>
      </c>
      <c r="AH72" s="102">
        <f t="shared" si="89"/>
        <v>0</v>
      </c>
      <c r="AI72" s="102">
        <f t="shared" si="89"/>
        <v>0</v>
      </c>
      <c r="AJ72" s="102">
        <f t="shared" si="89"/>
        <v>0</v>
      </c>
      <c r="AK72" s="102">
        <f t="shared" si="89"/>
        <v>0</v>
      </c>
      <c r="AL72" s="102">
        <f t="shared" si="89"/>
        <v>0</v>
      </c>
      <c r="AM72" s="102">
        <f t="shared" si="89"/>
        <v>0</v>
      </c>
      <c r="AN72" s="102">
        <f t="shared" si="89"/>
        <v>0</v>
      </c>
      <c r="AO72" s="102">
        <f t="shared" si="89"/>
        <v>0</v>
      </c>
      <c r="AP72" s="102">
        <f t="shared" si="89"/>
        <v>0</v>
      </c>
      <c r="AQ72" s="102">
        <f t="shared" si="89"/>
        <v>0</v>
      </c>
      <c r="AR72" s="102">
        <f t="shared" si="89"/>
        <v>0</v>
      </c>
      <c r="AS72" s="102">
        <f t="shared" si="89"/>
        <v>0</v>
      </c>
      <c r="AT72" s="102"/>
      <c r="AU72" s="102"/>
      <c r="AV72" s="102"/>
      <c r="AW72" s="102"/>
      <c r="AX72" s="102"/>
      <c r="AY72" s="102"/>
      <c r="AZ72" s="102"/>
      <c r="BA72" s="102"/>
      <c r="BB72" s="102"/>
      <c r="BC72" s="102"/>
      <c r="BD72" s="102"/>
      <c r="BE72" s="102"/>
      <c r="BF72" s="102"/>
      <c r="BG72" s="102"/>
      <c r="BH72" s="102"/>
      <c r="BI72" s="102"/>
    </row>
    <row r="73" spans="1:61" s="17" customFormat="1" hidden="1" outlineLevel="1" x14ac:dyDescent="0.25">
      <c r="A73" s="16" t="s">
        <v>164</v>
      </c>
      <c r="B73" s="101">
        <f t="shared" si="87"/>
        <v>0</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f>+AE76*$AD$9/2</f>
        <v>0</v>
      </c>
      <c r="AF73" s="102">
        <f t="shared" ref="AF73:AS73" si="90">+AF76*$AD$9/2</f>
        <v>0</v>
      </c>
      <c r="AG73" s="102">
        <f t="shared" si="90"/>
        <v>0</v>
      </c>
      <c r="AH73" s="102">
        <f t="shared" si="90"/>
        <v>0</v>
      </c>
      <c r="AI73" s="102">
        <f t="shared" si="90"/>
        <v>0</v>
      </c>
      <c r="AJ73" s="102">
        <f t="shared" si="90"/>
        <v>0</v>
      </c>
      <c r="AK73" s="102">
        <f t="shared" si="90"/>
        <v>0</v>
      </c>
      <c r="AL73" s="102">
        <f t="shared" si="90"/>
        <v>0</v>
      </c>
      <c r="AM73" s="102">
        <f t="shared" si="90"/>
        <v>0</v>
      </c>
      <c r="AN73" s="102">
        <f t="shared" si="90"/>
        <v>0</v>
      </c>
      <c r="AO73" s="102">
        <f t="shared" si="90"/>
        <v>0</v>
      </c>
      <c r="AP73" s="102">
        <f t="shared" si="90"/>
        <v>0</v>
      </c>
      <c r="AQ73" s="102">
        <f t="shared" si="90"/>
        <v>0</v>
      </c>
      <c r="AR73" s="102">
        <f t="shared" si="90"/>
        <v>0</v>
      </c>
      <c r="AS73" s="102">
        <f t="shared" si="90"/>
        <v>0</v>
      </c>
      <c r="AT73" s="102"/>
      <c r="AU73" s="102"/>
      <c r="AV73" s="102"/>
      <c r="AW73" s="102"/>
      <c r="AX73" s="102"/>
      <c r="AY73" s="102"/>
      <c r="AZ73" s="102"/>
      <c r="BA73" s="102"/>
      <c r="BB73" s="102"/>
      <c r="BC73" s="102"/>
      <c r="BD73" s="102"/>
      <c r="BE73" s="102"/>
      <c r="BF73" s="102"/>
      <c r="BG73" s="102"/>
      <c r="BH73" s="102"/>
      <c r="BI73" s="102"/>
    </row>
    <row r="74" spans="1:61" s="17" customFormat="1" hidden="1" outlineLevel="1" x14ac:dyDescent="0.25">
      <c r="A74" s="16" t="s">
        <v>220</v>
      </c>
      <c r="B74" s="101">
        <f t="shared" si="87"/>
        <v>0</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f>-PMT(AD9/2,AD10*2,AD8)</f>
        <v>0</v>
      </c>
      <c r="AE74" s="102">
        <f>+AD74</f>
        <v>0</v>
      </c>
      <c r="AF74" s="102">
        <f t="shared" ref="AF74:AS74" si="91">+AE74</f>
        <v>0</v>
      </c>
      <c r="AG74" s="102">
        <f t="shared" si="91"/>
        <v>0</v>
      </c>
      <c r="AH74" s="102">
        <f t="shared" si="91"/>
        <v>0</v>
      </c>
      <c r="AI74" s="102">
        <f t="shared" si="91"/>
        <v>0</v>
      </c>
      <c r="AJ74" s="102">
        <f t="shared" si="91"/>
        <v>0</v>
      </c>
      <c r="AK74" s="102">
        <f t="shared" si="91"/>
        <v>0</v>
      </c>
      <c r="AL74" s="102">
        <f t="shared" si="91"/>
        <v>0</v>
      </c>
      <c r="AM74" s="102">
        <f t="shared" si="91"/>
        <v>0</v>
      </c>
      <c r="AN74" s="102">
        <f t="shared" si="91"/>
        <v>0</v>
      </c>
      <c r="AO74" s="102">
        <f t="shared" si="91"/>
        <v>0</v>
      </c>
      <c r="AP74" s="102">
        <f t="shared" si="91"/>
        <v>0</v>
      </c>
      <c r="AQ74" s="102">
        <f t="shared" si="91"/>
        <v>0</v>
      </c>
      <c r="AR74" s="102">
        <f t="shared" si="91"/>
        <v>0</v>
      </c>
      <c r="AS74" s="102">
        <f t="shared" si="91"/>
        <v>0</v>
      </c>
      <c r="AT74" s="102"/>
      <c r="AU74" s="102"/>
      <c r="AV74" s="102"/>
      <c r="AW74" s="102"/>
      <c r="AX74" s="102"/>
      <c r="AY74" s="102"/>
      <c r="AZ74" s="102"/>
      <c r="BA74" s="102"/>
      <c r="BB74" s="102"/>
      <c r="BC74" s="102"/>
      <c r="BD74" s="102"/>
      <c r="BE74" s="102"/>
      <c r="BF74" s="102"/>
      <c r="BG74" s="102"/>
      <c r="BH74" s="102"/>
      <c r="BI74" s="102"/>
    </row>
    <row r="75" spans="1:61" s="17" customFormat="1" hidden="1" outlineLevel="1" x14ac:dyDescent="0.25">
      <c r="A75" s="16" t="s">
        <v>220</v>
      </c>
      <c r="B75" s="101">
        <f t="shared" si="87"/>
        <v>0</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f>+AE74</f>
        <v>0</v>
      </c>
      <c r="AF75" s="102">
        <f t="shared" ref="AF75:AR75" si="92">+AF74</f>
        <v>0</v>
      </c>
      <c r="AG75" s="102">
        <f t="shared" si="92"/>
        <v>0</v>
      </c>
      <c r="AH75" s="102">
        <f t="shared" si="92"/>
        <v>0</v>
      </c>
      <c r="AI75" s="102">
        <f t="shared" si="92"/>
        <v>0</v>
      </c>
      <c r="AJ75" s="102">
        <f t="shared" si="92"/>
        <v>0</v>
      </c>
      <c r="AK75" s="102">
        <f t="shared" si="92"/>
        <v>0</v>
      </c>
      <c r="AL75" s="102">
        <f t="shared" si="92"/>
        <v>0</v>
      </c>
      <c r="AM75" s="102">
        <f t="shared" si="92"/>
        <v>0</v>
      </c>
      <c r="AN75" s="102">
        <f t="shared" si="92"/>
        <v>0</v>
      </c>
      <c r="AO75" s="102">
        <f t="shared" si="92"/>
        <v>0</v>
      </c>
      <c r="AP75" s="102">
        <f t="shared" si="92"/>
        <v>0</v>
      </c>
      <c r="AQ75" s="102">
        <f t="shared" si="92"/>
        <v>0</v>
      </c>
      <c r="AR75" s="102">
        <f t="shared" si="92"/>
        <v>0</v>
      </c>
      <c r="AS75" s="102"/>
      <c r="AT75" s="102"/>
      <c r="AU75" s="102"/>
      <c r="AV75" s="102"/>
      <c r="AW75" s="102"/>
      <c r="AX75" s="102"/>
      <c r="AY75" s="102"/>
      <c r="AZ75" s="102"/>
      <c r="BA75" s="102"/>
      <c r="BB75" s="102"/>
      <c r="BC75" s="102"/>
      <c r="BD75" s="102"/>
      <c r="BE75" s="102"/>
      <c r="BF75" s="102"/>
      <c r="BG75" s="102"/>
      <c r="BH75" s="102"/>
      <c r="BI75" s="102"/>
    </row>
    <row r="76" spans="1:61" s="17" customFormat="1" hidden="1" outlineLevel="1" x14ac:dyDescent="0.25">
      <c r="A76" s="16" t="s">
        <v>227</v>
      </c>
      <c r="B76" s="101">
        <f t="shared" si="87"/>
        <v>0</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f>+AD77-AE70</f>
        <v>0</v>
      </c>
      <c r="AF76" s="102">
        <f t="shared" ref="AF76:AS76" si="93">+AE77-AF70</f>
        <v>0</v>
      </c>
      <c r="AG76" s="102">
        <f t="shared" si="93"/>
        <v>0</v>
      </c>
      <c r="AH76" s="102">
        <f t="shared" si="93"/>
        <v>0</v>
      </c>
      <c r="AI76" s="102">
        <f t="shared" si="93"/>
        <v>0</v>
      </c>
      <c r="AJ76" s="102">
        <f t="shared" si="93"/>
        <v>0</v>
      </c>
      <c r="AK76" s="102">
        <f t="shared" si="93"/>
        <v>0</v>
      </c>
      <c r="AL76" s="102">
        <f t="shared" si="93"/>
        <v>0</v>
      </c>
      <c r="AM76" s="102">
        <f t="shared" si="93"/>
        <v>0</v>
      </c>
      <c r="AN76" s="102">
        <f t="shared" si="93"/>
        <v>0</v>
      </c>
      <c r="AO76" s="102">
        <f t="shared" si="93"/>
        <v>0</v>
      </c>
      <c r="AP76" s="102">
        <f t="shared" si="93"/>
        <v>0</v>
      </c>
      <c r="AQ76" s="102">
        <f t="shared" si="93"/>
        <v>0</v>
      </c>
      <c r="AR76" s="102">
        <f t="shared" si="93"/>
        <v>0</v>
      </c>
      <c r="AS76" s="102">
        <f t="shared" si="93"/>
        <v>0</v>
      </c>
      <c r="AT76" s="102"/>
      <c r="AU76" s="102"/>
      <c r="AV76" s="102"/>
      <c r="AW76" s="102"/>
      <c r="AX76" s="102"/>
      <c r="AY76" s="102"/>
      <c r="AZ76" s="102"/>
      <c r="BA76" s="102"/>
      <c r="BB76" s="102"/>
      <c r="BC76" s="102"/>
      <c r="BD76" s="102"/>
      <c r="BE76" s="102"/>
      <c r="BF76" s="102"/>
      <c r="BG76" s="102"/>
      <c r="BH76" s="102"/>
      <c r="BI76" s="102"/>
    </row>
    <row r="77" spans="1:61" s="17" customFormat="1" hidden="1" outlineLevel="1" x14ac:dyDescent="0.25">
      <c r="A77" s="16" t="s">
        <v>16</v>
      </c>
      <c r="B77" s="101">
        <f t="shared" si="87"/>
        <v>0</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f>AD69-AD70</f>
        <v>0</v>
      </c>
      <c r="AE77" s="102">
        <f>+AE76-AE71</f>
        <v>0</v>
      </c>
      <c r="AF77" s="102">
        <f t="shared" ref="AF77:AS77" si="94">+AF76-AF71</f>
        <v>0</v>
      </c>
      <c r="AG77" s="102">
        <f t="shared" si="94"/>
        <v>0</v>
      </c>
      <c r="AH77" s="102">
        <f t="shared" si="94"/>
        <v>0</v>
      </c>
      <c r="AI77" s="102">
        <f t="shared" si="94"/>
        <v>0</v>
      </c>
      <c r="AJ77" s="102">
        <f t="shared" si="94"/>
        <v>0</v>
      </c>
      <c r="AK77" s="102">
        <f t="shared" si="94"/>
        <v>0</v>
      </c>
      <c r="AL77" s="102">
        <f t="shared" si="94"/>
        <v>0</v>
      </c>
      <c r="AM77" s="102">
        <f t="shared" si="94"/>
        <v>0</v>
      </c>
      <c r="AN77" s="102">
        <f t="shared" si="94"/>
        <v>0</v>
      </c>
      <c r="AO77" s="102">
        <f t="shared" si="94"/>
        <v>0</v>
      </c>
      <c r="AP77" s="102">
        <f t="shared" si="94"/>
        <v>0</v>
      </c>
      <c r="AQ77" s="102">
        <f t="shared" si="94"/>
        <v>0</v>
      </c>
      <c r="AR77" s="102">
        <f t="shared" si="94"/>
        <v>0</v>
      </c>
      <c r="AS77" s="102">
        <f t="shared" si="94"/>
        <v>0</v>
      </c>
      <c r="AT77" s="102"/>
      <c r="AU77" s="102"/>
      <c r="AV77" s="102"/>
      <c r="AW77" s="102"/>
      <c r="AX77" s="102"/>
      <c r="AY77" s="102"/>
      <c r="AZ77" s="102"/>
      <c r="BA77" s="102"/>
      <c r="BB77" s="102"/>
      <c r="BC77" s="102"/>
      <c r="BD77" s="102"/>
      <c r="BE77" s="102"/>
      <c r="BF77" s="102"/>
      <c r="BG77" s="102"/>
      <c r="BH77" s="102"/>
      <c r="BI77" s="102"/>
    </row>
    <row r="78" spans="1:61" hidden="1" outlineLevel="1" x14ac:dyDescent="0.25">
      <c r="A78" s="21"/>
      <c r="B78" s="101">
        <f t="shared" si="87"/>
        <v>0</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row>
    <row r="79" spans="1:61" hidden="1" outlineLevel="1" x14ac:dyDescent="0.25">
      <c r="A79" s="20" t="str">
        <f t="shared" ref="A79:A87" si="95">A69</f>
        <v>Debt Forecasted</v>
      </c>
      <c r="B79" s="101">
        <f>SUM(C79:BJ79)</f>
        <v>0</v>
      </c>
      <c r="C79" s="102">
        <v>0</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f>AE8</f>
        <v>0</v>
      </c>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row>
    <row r="80" spans="1:61" s="17" customFormat="1" hidden="1" outlineLevel="1" x14ac:dyDescent="0.25">
      <c r="A80" s="16" t="str">
        <f t="shared" si="95"/>
        <v>Principal</v>
      </c>
      <c r="B80" s="101">
        <f t="shared" ref="B80:B128" si="96">SUM(C80:BJ80)</f>
        <v>0</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f t="shared" ref="AE80:AT81" si="97">+AE84-AE82</f>
        <v>0</v>
      </c>
      <c r="AF80" s="102">
        <f t="shared" si="97"/>
        <v>0</v>
      </c>
      <c r="AG80" s="102">
        <f t="shared" si="97"/>
        <v>0</v>
      </c>
      <c r="AH80" s="102">
        <f t="shared" si="97"/>
        <v>0</v>
      </c>
      <c r="AI80" s="102">
        <f t="shared" si="97"/>
        <v>0</v>
      </c>
      <c r="AJ80" s="102">
        <f t="shared" si="97"/>
        <v>0</v>
      </c>
      <c r="AK80" s="102">
        <f t="shared" si="97"/>
        <v>0</v>
      </c>
      <c r="AL80" s="102">
        <f t="shared" si="97"/>
        <v>0</v>
      </c>
      <c r="AM80" s="102">
        <f t="shared" si="97"/>
        <v>0</v>
      </c>
      <c r="AN80" s="102">
        <f t="shared" si="97"/>
        <v>0</v>
      </c>
      <c r="AO80" s="102">
        <f t="shared" si="97"/>
        <v>0</v>
      </c>
      <c r="AP80" s="102">
        <f t="shared" si="97"/>
        <v>0</v>
      </c>
      <c r="AQ80" s="102">
        <f t="shared" si="97"/>
        <v>0</v>
      </c>
      <c r="AR80" s="102">
        <f t="shared" si="97"/>
        <v>0</v>
      </c>
      <c r="AS80" s="102">
        <f t="shared" si="97"/>
        <v>0</v>
      </c>
      <c r="AT80" s="102">
        <f t="shared" si="97"/>
        <v>0</v>
      </c>
      <c r="AU80" s="102"/>
      <c r="AV80" s="102"/>
      <c r="AW80" s="102"/>
      <c r="AX80" s="102"/>
      <c r="AY80" s="102"/>
      <c r="AZ80" s="102"/>
      <c r="BA80" s="102"/>
      <c r="BB80" s="102"/>
      <c r="BC80" s="102"/>
      <c r="BD80" s="102"/>
      <c r="BE80" s="102"/>
      <c r="BF80" s="102"/>
      <c r="BG80" s="102"/>
      <c r="BH80" s="102"/>
      <c r="BI80" s="102"/>
    </row>
    <row r="81" spans="1:61" s="17" customFormat="1" hidden="1" outlineLevel="1" x14ac:dyDescent="0.25">
      <c r="A81" s="16" t="str">
        <f t="shared" si="95"/>
        <v>Principal</v>
      </c>
      <c r="B81" s="101">
        <f t="shared" si="96"/>
        <v>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f t="shared" si="97"/>
        <v>0</v>
      </c>
      <c r="AG81" s="102">
        <f t="shared" si="97"/>
        <v>0</v>
      </c>
      <c r="AH81" s="102">
        <f t="shared" si="97"/>
        <v>0</v>
      </c>
      <c r="AI81" s="102">
        <f t="shared" si="97"/>
        <v>0</v>
      </c>
      <c r="AJ81" s="102">
        <f t="shared" si="97"/>
        <v>0</v>
      </c>
      <c r="AK81" s="102">
        <f t="shared" si="97"/>
        <v>0</v>
      </c>
      <c r="AL81" s="102">
        <f t="shared" si="97"/>
        <v>0</v>
      </c>
      <c r="AM81" s="102">
        <f t="shared" si="97"/>
        <v>0</v>
      </c>
      <c r="AN81" s="102">
        <f t="shared" si="97"/>
        <v>0</v>
      </c>
      <c r="AO81" s="102">
        <f t="shared" si="97"/>
        <v>0</v>
      </c>
      <c r="AP81" s="102">
        <f t="shared" si="97"/>
        <v>0</v>
      </c>
      <c r="AQ81" s="102">
        <f t="shared" si="97"/>
        <v>0</v>
      </c>
      <c r="AR81" s="102">
        <f t="shared" si="97"/>
        <v>0</v>
      </c>
      <c r="AS81" s="102">
        <f t="shared" si="97"/>
        <v>0</v>
      </c>
      <c r="AT81" s="102">
        <f t="shared" si="97"/>
        <v>0</v>
      </c>
      <c r="AU81" s="102"/>
      <c r="AV81" s="102"/>
      <c r="AW81" s="102"/>
      <c r="AX81" s="102"/>
      <c r="AY81" s="102"/>
      <c r="AZ81" s="102"/>
      <c r="BA81" s="102"/>
      <c r="BB81" s="102"/>
      <c r="BC81" s="102"/>
      <c r="BD81" s="102"/>
      <c r="BE81" s="102"/>
      <c r="BF81" s="102"/>
      <c r="BG81" s="102"/>
      <c r="BH81" s="102"/>
      <c r="BI81" s="102"/>
    </row>
    <row r="82" spans="1:61" s="17" customFormat="1" hidden="1" outlineLevel="1" x14ac:dyDescent="0.25">
      <c r="A82" s="16" t="str">
        <f t="shared" si="95"/>
        <v>Interest</v>
      </c>
      <c r="B82" s="101">
        <f t="shared" si="96"/>
        <v>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f>+AE79*AE9/2</f>
        <v>0</v>
      </c>
      <c r="AF82" s="102">
        <f>+AE87*$AE$9/2</f>
        <v>0</v>
      </c>
      <c r="AG82" s="102">
        <f t="shared" ref="AG82:AT82" si="98">+AF87*$AE$9/2</f>
        <v>0</v>
      </c>
      <c r="AH82" s="102">
        <f t="shared" si="98"/>
        <v>0</v>
      </c>
      <c r="AI82" s="102">
        <f t="shared" si="98"/>
        <v>0</v>
      </c>
      <c r="AJ82" s="102">
        <f t="shared" si="98"/>
        <v>0</v>
      </c>
      <c r="AK82" s="102">
        <f t="shared" si="98"/>
        <v>0</v>
      </c>
      <c r="AL82" s="102">
        <f t="shared" si="98"/>
        <v>0</v>
      </c>
      <c r="AM82" s="102">
        <f t="shared" si="98"/>
        <v>0</v>
      </c>
      <c r="AN82" s="102">
        <f t="shared" si="98"/>
        <v>0</v>
      </c>
      <c r="AO82" s="102">
        <f t="shared" si="98"/>
        <v>0</v>
      </c>
      <c r="AP82" s="102">
        <f t="shared" si="98"/>
        <v>0</v>
      </c>
      <c r="AQ82" s="102">
        <f t="shared" si="98"/>
        <v>0</v>
      </c>
      <c r="AR82" s="102">
        <f t="shared" si="98"/>
        <v>0</v>
      </c>
      <c r="AS82" s="102">
        <f t="shared" si="98"/>
        <v>0</v>
      </c>
      <c r="AT82" s="102">
        <f t="shared" si="98"/>
        <v>0</v>
      </c>
      <c r="AU82" s="102"/>
      <c r="AV82" s="102"/>
      <c r="AW82" s="102"/>
      <c r="AX82" s="102"/>
      <c r="AY82" s="102"/>
      <c r="AZ82" s="102"/>
      <c r="BA82" s="102"/>
      <c r="BB82" s="102"/>
      <c r="BC82" s="102"/>
      <c r="BD82" s="102"/>
      <c r="BE82" s="102"/>
      <c r="BF82" s="102"/>
      <c r="BG82" s="102"/>
      <c r="BH82" s="102"/>
      <c r="BI82" s="102"/>
    </row>
    <row r="83" spans="1:61" s="17" customFormat="1" hidden="1" outlineLevel="1" x14ac:dyDescent="0.25">
      <c r="A83" s="16" t="str">
        <f t="shared" si="95"/>
        <v>Interest</v>
      </c>
      <c r="B83" s="101">
        <f t="shared" si="96"/>
        <v>0</v>
      </c>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f>+AF86*$AE$9/2</f>
        <v>0</v>
      </c>
      <c r="AG83" s="102">
        <f t="shared" ref="AG83:AT83" si="99">+AG86*$AE$9/2</f>
        <v>0</v>
      </c>
      <c r="AH83" s="102">
        <f t="shared" si="99"/>
        <v>0</v>
      </c>
      <c r="AI83" s="102">
        <f t="shared" si="99"/>
        <v>0</v>
      </c>
      <c r="AJ83" s="102">
        <f t="shared" si="99"/>
        <v>0</v>
      </c>
      <c r="AK83" s="102">
        <f t="shared" si="99"/>
        <v>0</v>
      </c>
      <c r="AL83" s="102">
        <f t="shared" si="99"/>
        <v>0</v>
      </c>
      <c r="AM83" s="102">
        <f t="shared" si="99"/>
        <v>0</v>
      </c>
      <c r="AN83" s="102">
        <f t="shared" si="99"/>
        <v>0</v>
      </c>
      <c r="AO83" s="102">
        <f t="shared" si="99"/>
        <v>0</v>
      </c>
      <c r="AP83" s="102">
        <f t="shared" si="99"/>
        <v>0</v>
      </c>
      <c r="AQ83" s="102">
        <f t="shared" si="99"/>
        <v>0</v>
      </c>
      <c r="AR83" s="102">
        <f t="shared" si="99"/>
        <v>0</v>
      </c>
      <c r="AS83" s="102">
        <f t="shared" si="99"/>
        <v>0</v>
      </c>
      <c r="AT83" s="102">
        <f t="shared" si="99"/>
        <v>0</v>
      </c>
      <c r="AU83" s="102"/>
      <c r="AV83" s="102"/>
      <c r="AW83" s="102"/>
      <c r="AX83" s="102"/>
      <c r="AY83" s="102"/>
      <c r="AZ83" s="102"/>
      <c r="BA83" s="102"/>
      <c r="BB83" s="102"/>
      <c r="BC83" s="102"/>
      <c r="BD83" s="102"/>
      <c r="BE83" s="102"/>
      <c r="BF83" s="102"/>
      <c r="BG83" s="102"/>
      <c r="BH83" s="102"/>
      <c r="BI83" s="102"/>
    </row>
    <row r="84" spans="1:61" s="17" customFormat="1" hidden="1" outlineLevel="1" x14ac:dyDescent="0.25">
      <c r="A84" s="16" t="str">
        <f t="shared" si="95"/>
        <v xml:space="preserve">Debt Servicing </v>
      </c>
      <c r="B84" s="101">
        <f t="shared" si="96"/>
        <v>0</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f>-PMT(AE9/2,AE10*2,AE8)</f>
        <v>0</v>
      </c>
      <c r="AF84" s="102">
        <f t="shared" ref="AF84:AT84" si="100">+AE84</f>
        <v>0</v>
      </c>
      <c r="AG84" s="102">
        <f t="shared" si="100"/>
        <v>0</v>
      </c>
      <c r="AH84" s="102">
        <f t="shared" si="100"/>
        <v>0</v>
      </c>
      <c r="AI84" s="102">
        <f t="shared" si="100"/>
        <v>0</v>
      </c>
      <c r="AJ84" s="102">
        <f t="shared" si="100"/>
        <v>0</v>
      </c>
      <c r="AK84" s="102">
        <f t="shared" si="100"/>
        <v>0</v>
      </c>
      <c r="AL84" s="102">
        <f t="shared" si="100"/>
        <v>0</v>
      </c>
      <c r="AM84" s="102">
        <f t="shared" si="100"/>
        <v>0</v>
      </c>
      <c r="AN84" s="102">
        <f t="shared" si="100"/>
        <v>0</v>
      </c>
      <c r="AO84" s="102">
        <f t="shared" si="100"/>
        <v>0</v>
      </c>
      <c r="AP84" s="102">
        <f t="shared" si="100"/>
        <v>0</v>
      </c>
      <c r="AQ84" s="102">
        <f t="shared" si="100"/>
        <v>0</v>
      </c>
      <c r="AR84" s="102">
        <f t="shared" si="100"/>
        <v>0</v>
      </c>
      <c r="AS84" s="102">
        <f t="shared" si="100"/>
        <v>0</v>
      </c>
      <c r="AT84" s="102">
        <f t="shared" si="100"/>
        <v>0</v>
      </c>
      <c r="AU84" s="102"/>
      <c r="AV84" s="102"/>
      <c r="AW84" s="102"/>
      <c r="AX84" s="102"/>
      <c r="AY84" s="102"/>
      <c r="AZ84" s="102"/>
      <c r="BA84" s="102"/>
      <c r="BB84" s="102"/>
      <c r="BC84" s="102"/>
      <c r="BD84" s="102"/>
      <c r="BE84" s="102"/>
      <c r="BF84" s="102"/>
      <c r="BG84" s="102"/>
      <c r="BH84" s="102"/>
      <c r="BI84" s="102"/>
    </row>
    <row r="85" spans="1:61" s="17" customFormat="1" hidden="1" outlineLevel="1" x14ac:dyDescent="0.25">
      <c r="A85" s="16" t="str">
        <f t="shared" si="95"/>
        <v xml:space="preserve">Debt Servicing </v>
      </c>
      <c r="B85" s="101">
        <f t="shared" si="96"/>
        <v>0</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f t="shared" ref="AF85:AS85" si="101">+AF84</f>
        <v>0</v>
      </c>
      <c r="AG85" s="102">
        <f t="shared" si="101"/>
        <v>0</v>
      </c>
      <c r="AH85" s="102">
        <f t="shared" si="101"/>
        <v>0</v>
      </c>
      <c r="AI85" s="102">
        <f t="shared" si="101"/>
        <v>0</v>
      </c>
      <c r="AJ85" s="102">
        <f t="shared" si="101"/>
        <v>0</v>
      </c>
      <c r="AK85" s="102">
        <f t="shared" si="101"/>
        <v>0</v>
      </c>
      <c r="AL85" s="102">
        <f t="shared" si="101"/>
        <v>0</v>
      </c>
      <c r="AM85" s="102">
        <f t="shared" si="101"/>
        <v>0</v>
      </c>
      <c r="AN85" s="102">
        <f t="shared" si="101"/>
        <v>0</v>
      </c>
      <c r="AO85" s="102">
        <f t="shared" si="101"/>
        <v>0</v>
      </c>
      <c r="AP85" s="102">
        <f t="shared" si="101"/>
        <v>0</v>
      </c>
      <c r="AQ85" s="102">
        <f t="shared" si="101"/>
        <v>0</v>
      </c>
      <c r="AR85" s="102">
        <f t="shared" si="101"/>
        <v>0</v>
      </c>
      <c r="AS85" s="102">
        <f t="shared" si="101"/>
        <v>0</v>
      </c>
      <c r="AT85" s="102"/>
      <c r="AU85" s="102"/>
      <c r="AV85" s="102"/>
      <c r="AW85" s="102"/>
      <c r="AX85" s="102"/>
      <c r="AY85" s="102"/>
      <c r="AZ85" s="102"/>
      <c r="BA85" s="102"/>
      <c r="BB85" s="102"/>
      <c r="BC85" s="102"/>
      <c r="BD85" s="102"/>
      <c r="BE85" s="102"/>
      <c r="BF85" s="102"/>
      <c r="BG85" s="102"/>
      <c r="BH85" s="102"/>
      <c r="BI85" s="102"/>
    </row>
    <row r="86" spans="1:61" s="17" customFormat="1" hidden="1" outlineLevel="1" x14ac:dyDescent="0.25">
      <c r="A86" s="16" t="str">
        <f t="shared" si="95"/>
        <v>Balance mid year</v>
      </c>
      <c r="B86" s="101">
        <f t="shared" si="96"/>
        <v>0</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f t="shared" ref="AF86:AT86" si="102">+AE87-AF80</f>
        <v>0</v>
      </c>
      <c r="AG86" s="102">
        <f t="shared" si="102"/>
        <v>0</v>
      </c>
      <c r="AH86" s="102">
        <f t="shared" si="102"/>
        <v>0</v>
      </c>
      <c r="AI86" s="102">
        <f t="shared" si="102"/>
        <v>0</v>
      </c>
      <c r="AJ86" s="102">
        <f t="shared" si="102"/>
        <v>0</v>
      </c>
      <c r="AK86" s="102">
        <f t="shared" si="102"/>
        <v>0</v>
      </c>
      <c r="AL86" s="102">
        <f t="shared" si="102"/>
        <v>0</v>
      </c>
      <c r="AM86" s="102">
        <f t="shared" si="102"/>
        <v>0</v>
      </c>
      <c r="AN86" s="102">
        <f t="shared" si="102"/>
        <v>0</v>
      </c>
      <c r="AO86" s="102">
        <f t="shared" si="102"/>
        <v>0</v>
      </c>
      <c r="AP86" s="102">
        <f t="shared" si="102"/>
        <v>0</v>
      </c>
      <c r="AQ86" s="102">
        <f t="shared" si="102"/>
        <v>0</v>
      </c>
      <c r="AR86" s="102">
        <f t="shared" si="102"/>
        <v>0</v>
      </c>
      <c r="AS86" s="102">
        <f t="shared" si="102"/>
        <v>0</v>
      </c>
      <c r="AT86" s="102">
        <f t="shared" si="102"/>
        <v>0</v>
      </c>
      <c r="AU86" s="102"/>
      <c r="AV86" s="102"/>
      <c r="AW86" s="102"/>
      <c r="AX86" s="102"/>
      <c r="AY86" s="102"/>
      <c r="AZ86" s="102"/>
      <c r="BA86" s="102"/>
      <c r="BB86" s="102"/>
      <c r="BC86" s="102"/>
      <c r="BD86" s="102"/>
      <c r="BE86" s="102"/>
      <c r="BF86" s="102"/>
      <c r="BG86" s="102"/>
      <c r="BH86" s="102"/>
      <c r="BI86" s="102"/>
    </row>
    <row r="87" spans="1:61" s="17" customFormat="1" hidden="1" outlineLevel="1" x14ac:dyDescent="0.25">
      <c r="A87" s="16" t="str">
        <f t="shared" si="95"/>
        <v>Balance</v>
      </c>
      <c r="B87" s="101">
        <f t="shared" si="96"/>
        <v>0</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f>AE79-AE80</f>
        <v>0</v>
      </c>
      <c r="AF87" s="102">
        <f t="shared" ref="AF87:AT87" si="103">+AF86-AF81</f>
        <v>0</v>
      </c>
      <c r="AG87" s="102">
        <f t="shared" si="103"/>
        <v>0</v>
      </c>
      <c r="AH87" s="102">
        <f t="shared" si="103"/>
        <v>0</v>
      </c>
      <c r="AI87" s="102">
        <f t="shared" si="103"/>
        <v>0</v>
      </c>
      <c r="AJ87" s="102">
        <f t="shared" si="103"/>
        <v>0</v>
      </c>
      <c r="AK87" s="102">
        <f t="shared" si="103"/>
        <v>0</v>
      </c>
      <c r="AL87" s="102">
        <f t="shared" si="103"/>
        <v>0</v>
      </c>
      <c r="AM87" s="102">
        <f t="shared" si="103"/>
        <v>0</v>
      </c>
      <c r="AN87" s="102">
        <f t="shared" si="103"/>
        <v>0</v>
      </c>
      <c r="AO87" s="102">
        <f t="shared" si="103"/>
        <v>0</v>
      </c>
      <c r="AP87" s="102">
        <f t="shared" si="103"/>
        <v>0</v>
      </c>
      <c r="AQ87" s="102">
        <f t="shared" si="103"/>
        <v>0</v>
      </c>
      <c r="AR87" s="102">
        <f t="shared" si="103"/>
        <v>0</v>
      </c>
      <c r="AS87" s="102">
        <f t="shared" si="103"/>
        <v>0</v>
      </c>
      <c r="AT87" s="102">
        <f t="shared" si="103"/>
        <v>0</v>
      </c>
      <c r="AU87" s="102"/>
      <c r="AV87" s="102"/>
      <c r="AW87" s="102"/>
      <c r="AX87" s="102"/>
      <c r="AY87" s="102"/>
      <c r="AZ87" s="102"/>
      <c r="BA87" s="102"/>
      <c r="BB87" s="102"/>
      <c r="BC87" s="102"/>
      <c r="BD87" s="102"/>
      <c r="BE87" s="102"/>
      <c r="BF87" s="102"/>
      <c r="BG87" s="102"/>
      <c r="BH87" s="102"/>
      <c r="BI87" s="102"/>
    </row>
    <row r="88" spans="1:61" s="17" customFormat="1" hidden="1" outlineLevel="1" x14ac:dyDescent="0.25">
      <c r="A88" s="16"/>
      <c r="B88" s="101">
        <f t="shared" si="96"/>
        <v>0</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row>
    <row r="89" spans="1:61" hidden="1" outlineLevel="1" x14ac:dyDescent="0.25">
      <c r="A89" s="20" t="str">
        <f t="shared" ref="A89:A97" si="104">A79</f>
        <v>Debt Forecasted</v>
      </c>
      <c r="B89" s="101">
        <f t="shared" si="96"/>
        <v>0</v>
      </c>
      <c r="C89" s="102">
        <v>0</v>
      </c>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f>AF8</f>
        <v>0</v>
      </c>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row>
    <row r="90" spans="1:61" s="17" customFormat="1" hidden="1" outlineLevel="1" x14ac:dyDescent="0.25">
      <c r="A90" s="16" t="str">
        <f t="shared" si="104"/>
        <v>Principal</v>
      </c>
      <c r="B90" s="101">
        <f t="shared" si="96"/>
        <v>0</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f t="shared" ref="AF90:AU91" si="105">+AF94-AF92</f>
        <v>0</v>
      </c>
      <c r="AG90" s="102">
        <f t="shared" si="105"/>
        <v>0</v>
      </c>
      <c r="AH90" s="102">
        <f t="shared" si="105"/>
        <v>0</v>
      </c>
      <c r="AI90" s="102">
        <f t="shared" si="105"/>
        <v>0</v>
      </c>
      <c r="AJ90" s="102">
        <f t="shared" si="105"/>
        <v>0</v>
      </c>
      <c r="AK90" s="102">
        <f t="shared" si="105"/>
        <v>0</v>
      </c>
      <c r="AL90" s="102">
        <f t="shared" si="105"/>
        <v>0</v>
      </c>
      <c r="AM90" s="102">
        <f t="shared" si="105"/>
        <v>0</v>
      </c>
      <c r="AN90" s="102">
        <f t="shared" si="105"/>
        <v>0</v>
      </c>
      <c r="AO90" s="102">
        <f t="shared" si="105"/>
        <v>0</v>
      </c>
      <c r="AP90" s="102">
        <f t="shared" si="105"/>
        <v>0</v>
      </c>
      <c r="AQ90" s="102">
        <f t="shared" si="105"/>
        <v>0</v>
      </c>
      <c r="AR90" s="102">
        <f t="shared" si="105"/>
        <v>0</v>
      </c>
      <c r="AS90" s="102">
        <f t="shared" si="105"/>
        <v>0</v>
      </c>
      <c r="AT90" s="102">
        <f t="shared" si="105"/>
        <v>0</v>
      </c>
      <c r="AU90" s="102">
        <f t="shared" si="105"/>
        <v>0</v>
      </c>
      <c r="AV90" s="102"/>
      <c r="AW90" s="102"/>
      <c r="AX90" s="102"/>
      <c r="AY90" s="102"/>
      <c r="AZ90" s="102"/>
      <c r="BA90" s="102"/>
      <c r="BB90" s="102"/>
      <c r="BC90" s="102"/>
      <c r="BD90" s="102"/>
      <c r="BE90" s="102"/>
      <c r="BF90" s="102"/>
      <c r="BG90" s="102"/>
      <c r="BH90" s="102"/>
      <c r="BI90" s="102"/>
    </row>
    <row r="91" spans="1:61" s="17" customFormat="1" hidden="1" outlineLevel="1" x14ac:dyDescent="0.25">
      <c r="A91" s="16" t="str">
        <f t="shared" si="104"/>
        <v>Principal</v>
      </c>
      <c r="B91" s="101">
        <f t="shared" si="96"/>
        <v>0</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f t="shared" si="105"/>
        <v>0</v>
      </c>
      <c r="AH91" s="102">
        <f t="shared" si="105"/>
        <v>0</v>
      </c>
      <c r="AI91" s="102">
        <f t="shared" si="105"/>
        <v>0</v>
      </c>
      <c r="AJ91" s="102">
        <f t="shared" si="105"/>
        <v>0</v>
      </c>
      <c r="AK91" s="102">
        <f t="shared" si="105"/>
        <v>0</v>
      </c>
      <c r="AL91" s="102">
        <f t="shared" si="105"/>
        <v>0</v>
      </c>
      <c r="AM91" s="102">
        <f t="shared" si="105"/>
        <v>0</v>
      </c>
      <c r="AN91" s="102">
        <f t="shared" si="105"/>
        <v>0</v>
      </c>
      <c r="AO91" s="102">
        <f t="shared" si="105"/>
        <v>0</v>
      </c>
      <c r="AP91" s="102">
        <f t="shared" si="105"/>
        <v>0</v>
      </c>
      <c r="AQ91" s="102">
        <f t="shared" si="105"/>
        <v>0</v>
      </c>
      <c r="AR91" s="102">
        <f t="shared" si="105"/>
        <v>0</v>
      </c>
      <c r="AS91" s="102">
        <f t="shared" si="105"/>
        <v>0</v>
      </c>
      <c r="AT91" s="102">
        <f t="shared" si="105"/>
        <v>0</v>
      </c>
      <c r="AU91" s="102">
        <f t="shared" si="105"/>
        <v>0</v>
      </c>
      <c r="AV91" s="102"/>
      <c r="AW91" s="102"/>
      <c r="AX91" s="102"/>
      <c r="AY91" s="102"/>
      <c r="AZ91" s="102"/>
      <c r="BA91" s="102"/>
      <c r="BB91" s="102"/>
      <c r="BC91" s="102"/>
      <c r="BD91" s="102"/>
      <c r="BE91" s="102"/>
      <c r="BF91" s="102"/>
      <c r="BG91" s="102"/>
      <c r="BH91" s="102"/>
      <c r="BI91" s="102"/>
    </row>
    <row r="92" spans="1:61" s="17" customFormat="1" hidden="1" outlineLevel="1" x14ac:dyDescent="0.25">
      <c r="A92" s="16" t="str">
        <f t="shared" si="104"/>
        <v>Interest</v>
      </c>
      <c r="B92" s="101">
        <f t="shared" si="96"/>
        <v>0</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f>AF89*AF9/2</f>
        <v>0</v>
      </c>
      <c r="AG92" s="102">
        <f>+AF97*$AF$9/2</f>
        <v>0</v>
      </c>
      <c r="AH92" s="102">
        <f t="shared" ref="AH92:AU92" si="106">+AG97*$AF$9/2</f>
        <v>0</v>
      </c>
      <c r="AI92" s="102">
        <f t="shared" si="106"/>
        <v>0</v>
      </c>
      <c r="AJ92" s="102">
        <f t="shared" si="106"/>
        <v>0</v>
      </c>
      <c r="AK92" s="102">
        <f t="shared" si="106"/>
        <v>0</v>
      </c>
      <c r="AL92" s="102">
        <f t="shared" si="106"/>
        <v>0</v>
      </c>
      <c r="AM92" s="102">
        <f t="shared" si="106"/>
        <v>0</v>
      </c>
      <c r="AN92" s="102">
        <f t="shared" si="106"/>
        <v>0</v>
      </c>
      <c r="AO92" s="102">
        <f t="shared" si="106"/>
        <v>0</v>
      </c>
      <c r="AP92" s="102">
        <f t="shared" si="106"/>
        <v>0</v>
      </c>
      <c r="AQ92" s="102">
        <f t="shared" si="106"/>
        <v>0</v>
      </c>
      <c r="AR92" s="102">
        <f t="shared" si="106"/>
        <v>0</v>
      </c>
      <c r="AS92" s="102">
        <f t="shared" si="106"/>
        <v>0</v>
      </c>
      <c r="AT92" s="102">
        <f t="shared" si="106"/>
        <v>0</v>
      </c>
      <c r="AU92" s="102">
        <f t="shared" si="106"/>
        <v>0</v>
      </c>
      <c r="AV92" s="102"/>
      <c r="AW92" s="102"/>
      <c r="AX92" s="102"/>
      <c r="AY92" s="102"/>
      <c r="AZ92" s="102"/>
      <c r="BA92" s="102"/>
      <c r="BB92" s="102"/>
      <c r="BC92" s="102"/>
      <c r="BD92" s="102"/>
      <c r="BE92" s="102"/>
      <c r="BF92" s="102"/>
      <c r="BG92" s="102"/>
      <c r="BH92" s="102"/>
      <c r="BI92" s="102"/>
    </row>
    <row r="93" spans="1:61" s="17" customFormat="1" hidden="1" outlineLevel="1" x14ac:dyDescent="0.25">
      <c r="A93" s="16" t="str">
        <f t="shared" si="104"/>
        <v>Interest</v>
      </c>
      <c r="B93" s="101">
        <f t="shared" si="96"/>
        <v>0</v>
      </c>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f>+AG96*$AF$9/2</f>
        <v>0</v>
      </c>
      <c r="AH93" s="102">
        <f t="shared" ref="AH93:AU93" si="107">+AH96*$AF$9/2</f>
        <v>0</v>
      </c>
      <c r="AI93" s="102">
        <f t="shared" si="107"/>
        <v>0</v>
      </c>
      <c r="AJ93" s="102">
        <f t="shared" si="107"/>
        <v>0</v>
      </c>
      <c r="AK93" s="102">
        <f t="shared" si="107"/>
        <v>0</v>
      </c>
      <c r="AL93" s="102">
        <f t="shared" si="107"/>
        <v>0</v>
      </c>
      <c r="AM93" s="102">
        <f t="shared" si="107"/>
        <v>0</v>
      </c>
      <c r="AN93" s="102">
        <f t="shared" si="107"/>
        <v>0</v>
      </c>
      <c r="AO93" s="102">
        <f t="shared" si="107"/>
        <v>0</v>
      </c>
      <c r="AP93" s="102">
        <f t="shared" si="107"/>
        <v>0</v>
      </c>
      <c r="AQ93" s="102">
        <f t="shared" si="107"/>
        <v>0</v>
      </c>
      <c r="AR93" s="102">
        <f t="shared" si="107"/>
        <v>0</v>
      </c>
      <c r="AS93" s="102">
        <f t="shared" si="107"/>
        <v>0</v>
      </c>
      <c r="AT93" s="102">
        <f t="shared" si="107"/>
        <v>0</v>
      </c>
      <c r="AU93" s="102">
        <f t="shared" si="107"/>
        <v>0</v>
      </c>
      <c r="AV93" s="102"/>
      <c r="AW93" s="102"/>
      <c r="AX93" s="102"/>
      <c r="AY93" s="102"/>
      <c r="AZ93" s="102"/>
      <c r="BA93" s="102"/>
      <c r="BB93" s="102"/>
      <c r="BC93" s="102"/>
      <c r="BD93" s="102"/>
      <c r="BE93" s="102"/>
      <c r="BF93" s="102"/>
      <c r="BG93" s="102"/>
      <c r="BH93" s="102"/>
      <c r="BI93" s="102"/>
    </row>
    <row r="94" spans="1:61" s="17" customFormat="1" hidden="1" outlineLevel="1" x14ac:dyDescent="0.25">
      <c r="A94" s="16" t="str">
        <f t="shared" si="104"/>
        <v xml:space="preserve">Debt Servicing </v>
      </c>
      <c r="B94" s="101">
        <f t="shared" si="96"/>
        <v>0</v>
      </c>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f>-PMT(AF9/2,AF10*2,AF8)</f>
        <v>0</v>
      </c>
      <c r="AG94" s="102">
        <f t="shared" ref="AG94:AU94" si="108">+AF94</f>
        <v>0</v>
      </c>
      <c r="AH94" s="102">
        <f t="shared" si="108"/>
        <v>0</v>
      </c>
      <c r="AI94" s="102">
        <f t="shared" si="108"/>
        <v>0</v>
      </c>
      <c r="AJ94" s="102">
        <f t="shared" si="108"/>
        <v>0</v>
      </c>
      <c r="AK94" s="102">
        <f t="shared" si="108"/>
        <v>0</v>
      </c>
      <c r="AL94" s="102">
        <f t="shared" si="108"/>
        <v>0</v>
      </c>
      <c r="AM94" s="102">
        <f t="shared" si="108"/>
        <v>0</v>
      </c>
      <c r="AN94" s="102">
        <f t="shared" si="108"/>
        <v>0</v>
      </c>
      <c r="AO94" s="102">
        <f t="shared" si="108"/>
        <v>0</v>
      </c>
      <c r="AP94" s="102">
        <f t="shared" si="108"/>
        <v>0</v>
      </c>
      <c r="AQ94" s="102">
        <f t="shared" si="108"/>
        <v>0</v>
      </c>
      <c r="AR94" s="102">
        <f t="shared" si="108"/>
        <v>0</v>
      </c>
      <c r="AS94" s="102">
        <f t="shared" si="108"/>
        <v>0</v>
      </c>
      <c r="AT94" s="102">
        <f t="shared" si="108"/>
        <v>0</v>
      </c>
      <c r="AU94" s="102">
        <f t="shared" si="108"/>
        <v>0</v>
      </c>
      <c r="AV94" s="102"/>
      <c r="AW94" s="102"/>
      <c r="AX94" s="102"/>
      <c r="AY94" s="102"/>
      <c r="AZ94" s="102"/>
      <c r="BA94" s="102"/>
      <c r="BB94" s="102"/>
      <c r="BC94" s="102"/>
      <c r="BD94" s="102"/>
      <c r="BE94" s="102"/>
      <c r="BF94" s="102"/>
      <c r="BG94" s="102"/>
      <c r="BH94" s="102"/>
      <c r="BI94" s="102"/>
    </row>
    <row r="95" spans="1:61" s="17" customFormat="1" hidden="1" outlineLevel="1" x14ac:dyDescent="0.25">
      <c r="A95" s="16" t="str">
        <f t="shared" si="104"/>
        <v xml:space="preserve">Debt Servicing </v>
      </c>
      <c r="B95" s="101">
        <f t="shared" si="96"/>
        <v>0</v>
      </c>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f t="shared" ref="AG95:AT95" si="109">+AG94</f>
        <v>0</v>
      </c>
      <c r="AH95" s="102">
        <f t="shared" si="109"/>
        <v>0</v>
      </c>
      <c r="AI95" s="102">
        <f t="shared" si="109"/>
        <v>0</v>
      </c>
      <c r="AJ95" s="102">
        <f t="shared" si="109"/>
        <v>0</v>
      </c>
      <c r="AK95" s="102">
        <f t="shared" si="109"/>
        <v>0</v>
      </c>
      <c r="AL95" s="102">
        <f t="shared" si="109"/>
        <v>0</v>
      </c>
      <c r="AM95" s="102">
        <f t="shared" si="109"/>
        <v>0</v>
      </c>
      <c r="AN95" s="102">
        <f t="shared" si="109"/>
        <v>0</v>
      </c>
      <c r="AO95" s="102">
        <f t="shared" si="109"/>
        <v>0</v>
      </c>
      <c r="AP95" s="102">
        <f t="shared" si="109"/>
        <v>0</v>
      </c>
      <c r="AQ95" s="102">
        <f t="shared" si="109"/>
        <v>0</v>
      </c>
      <c r="AR95" s="102">
        <f t="shared" si="109"/>
        <v>0</v>
      </c>
      <c r="AS95" s="102">
        <f t="shared" si="109"/>
        <v>0</v>
      </c>
      <c r="AT95" s="102">
        <f t="shared" si="109"/>
        <v>0</v>
      </c>
      <c r="AU95" s="102"/>
      <c r="AV95" s="102"/>
      <c r="AW95" s="102"/>
      <c r="AX95" s="102"/>
      <c r="AY95" s="102"/>
      <c r="AZ95" s="102"/>
      <c r="BA95" s="102"/>
      <c r="BB95" s="102"/>
      <c r="BC95" s="102"/>
      <c r="BD95" s="102"/>
      <c r="BE95" s="102"/>
      <c r="BF95" s="102"/>
      <c r="BG95" s="102"/>
      <c r="BH95" s="102"/>
      <c r="BI95" s="102"/>
    </row>
    <row r="96" spans="1:61" s="17" customFormat="1" hidden="1" outlineLevel="1" x14ac:dyDescent="0.25">
      <c r="A96" s="16" t="str">
        <f t="shared" si="104"/>
        <v>Balance mid year</v>
      </c>
      <c r="B96" s="101">
        <f t="shared" si="96"/>
        <v>0</v>
      </c>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f t="shared" ref="AG96:AU96" si="110">+AF97-AG90</f>
        <v>0</v>
      </c>
      <c r="AH96" s="102">
        <f t="shared" si="110"/>
        <v>0</v>
      </c>
      <c r="AI96" s="102">
        <f t="shared" si="110"/>
        <v>0</v>
      </c>
      <c r="AJ96" s="102">
        <f t="shared" si="110"/>
        <v>0</v>
      </c>
      <c r="AK96" s="102">
        <f t="shared" si="110"/>
        <v>0</v>
      </c>
      <c r="AL96" s="102">
        <f t="shared" si="110"/>
        <v>0</v>
      </c>
      <c r="AM96" s="102">
        <f t="shared" si="110"/>
        <v>0</v>
      </c>
      <c r="AN96" s="102">
        <f t="shared" si="110"/>
        <v>0</v>
      </c>
      <c r="AO96" s="102">
        <f t="shared" si="110"/>
        <v>0</v>
      </c>
      <c r="AP96" s="102">
        <f t="shared" si="110"/>
        <v>0</v>
      </c>
      <c r="AQ96" s="102">
        <f t="shared" si="110"/>
        <v>0</v>
      </c>
      <c r="AR96" s="102">
        <f t="shared" si="110"/>
        <v>0</v>
      </c>
      <c r="AS96" s="102">
        <f t="shared" si="110"/>
        <v>0</v>
      </c>
      <c r="AT96" s="102">
        <f t="shared" si="110"/>
        <v>0</v>
      </c>
      <c r="AU96" s="102">
        <f t="shared" si="110"/>
        <v>0</v>
      </c>
      <c r="AV96" s="102"/>
      <c r="AW96" s="102"/>
      <c r="AX96" s="102"/>
      <c r="AY96" s="102"/>
      <c r="AZ96" s="102"/>
      <c r="BA96" s="102"/>
      <c r="BB96" s="102"/>
      <c r="BC96" s="102"/>
      <c r="BD96" s="102"/>
      <c r="BE96" s="102"/>
      <c r="BF96" s="102"/>
      <c r="BG96" s="102"/>
      <c r="BH96" s="102"/>
      <c r="BI96" s="102"/>
    </row>
    <row r="97" spans="1:61" s="17" customFormat="1" hidden="1" outlineLevel="1" x14ac:dyDescent="0.25">
      <c r="A97" s="16" t="str">
        <f t="shared" si="104"/>
        <v>Balance</v>
      </c>
      <c r="B97" s="101">
        <f t="shared" si="96"/>
        <v>0</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f>AF89-AF90</f>
        <v>0</v>
      </c>
      <c r="AG97" s="102">
        <f t="shared" ref="AG97:AU97" si="111">+AG96-AG91</f>
        <v>0</v>
      </c>
      <c r="AH97" s="102">
        <f t="shared" si="111"/>
        <v>0</v>
      </c>
      <c r="AI97" s="102">
        <f t="shared" si="111"/>
        <v>0</v>
      </c>
      <c r="AJ97" s="102">
        <f t="shared" si="111"/>
        <v>0</v>
      </c>
      <c r="AK97" s="102">
        <f t="shared" si="111"/>
        <v>0</v>
      </c>
      <c r="AL97" s="102">
        <f t="shared" si="111"/>
        <v>0</v>
      </c>
      <c r="AM97" s="102">
        <f t="shared" si="111"/>
        <v>0</v>
      </c>
      <c r="AN97" s="102">
        <f t="shared" si="111"/>
        <v>0</v>
      </c>
      <c r="AO97" s="102">
        <f t="shared" si="111"/>
        <v>0</v>
      </c>
      <c r="AP97" s="102">
        <f t="shared" si="111"/>
        <v>0</v>
      </c>
      <c r="AQ97" s="102">
        <f t="shared" si="111"/>
        <v>0</v>
      </c>
      <c r="AR97" s="102">
        <f t="shared" si="111"/>
        <v>0</v>
      </c>
      <c r="AS97" s="102">
        <f t="shared" si="111"/>
        <v>0</v>
      </c>
      <c r="AT97" s="102">
        <f t="shared" si="111"/>
        <v>0</v>
      </c>
      <c r="AU97" s="102">
        <f t="shared" si="111"/>
        <v>0</v>
      </c>
      <c r="AV97" s="102"/>
      <c r="AW97" s="102"/>
      <c r="AX97" s="102"/>
      <c r="AY97" s="102"/>
      <c r="AZ97" s="102"/>
      <c r="BA97" s="102"/>
      <c r="BB97" s="102"/>
      <c r="BC97" s="102"/>
      <c r="BD97" s="102"/>
      <c r="BE97" s="102"/>
      <c r="BF97" s="102"/>
      <c r="BG97" s="102"/>
      <c r="BH97" s="102"/>
      <c r="BI97" s="102"/>
    </row>
    <row r="98" spans="1:61" s="17" customFormat="1" hidden="1" outlineLevel="1" x14ac:dyDescent="0.25">
      <c r="A98" s="16"/>
      <c r="B98" s="101">
        <f t="shared" si="96"/>
        <v>0</v>
      </c>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row>
    <row r="99" spans="1:61" hidden="1" outlineLevel="1" x14ac:dyDescent="0.25">
      <c r="A99" s="20" t="str">
        <f t="shared" ref="A99:A107" si="112">A89</f>
        <v>Debt Forecasted</v>
      </c>
      <c r="B99" s="101">
        <f t="shared" si="96"/>
        <v>0</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f>AG8</f>
        <v>0</v>
      </c>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row>
    <row r="100" spans="1:61" s="17" customFormat="1" hidden="1" outlineLevel="1" x14ac:dyDescent="0.25">
      <c r="A100" s="16" t="str">
        <f t="shared" si="112"/>
        <v>Principal</v>
      </c>
      <c r="B100" s="101">
        <f t="shared" si="96"/>
        <v>0</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f t="shared" ref="AG100:BF101" si="113">+AG104-AG102</f>
        <v>0</v>
      </c>
      <c r="AH100" s="102">
        <f t="shared" si="113"/>
        <v>0</v>
      </c>
      <c r="AI100" s="102">
        <f t="shared" si="113"/>
        <v>0</v>
      </c>
      <c r="AJ100" s="102">
        <f t="shared" si="113"/>
        <v>0</v>
      </c>
      <c r="AK100" s="102">
        <f t="shared" si="113"/>
        <v>0</v>
      </c>
      <c r="AL100" s="102">
        <f t="shared" si="113"/>
        <v>0</v>
      </c>
      <c r="AM100" s="102">
        <f t="shared" si="113"/>
        <v>0</v>
      </c>
      <c r="AN100" s="102">
        <f t="shared" si="113"/>
        <v>0</v>
      </c>
      <c r="AO100" s="102">
        <f t="shared" si="113"/>
        <v>0</v>
      </c>
      <c r="AP100" s="102">
        <f t="shared" si="113"/>
        <v>0</v>
      </c>
      <c r="AQ100" s="102">
        <f t="shared" si="113"/>
        <v>0</v>
      </c>
      <c r="AR100" s="102">
        <f t="shared" si="113"/>
        <v>0</v>
      </c>
      <c r="AS100" s="102">
        <f t="shared" si="113"/>
        <v>0</v>
      </c>
      <c r="AT100" s="102">
        <f t="shared" si="113"/>
        <v>0</v>
      </c>
      <c r="AU100" s="102">
        <f t="shared" si="113"/>
        <v>0</v>
      </c>
      <c r="AV100" s="102">
        <f t="shared" si="113"/>
        <v>0</v>
      </c>
      <c r="AW100" s="102"/>
      <c r="AX100" s="102"/>
      <c r="AY100" s="102"/>
      <c r="AZ100" s="102"/>
      <c r="BA100" s="102"/>
      <c r="BB100" s="102"/>
      <c r="BC100" s="102"/>
      <c r="BD100" s="102"/>
      <c r="BE100" s="102"/>
      <c r="BF100" s="102">
        <f t="shared" si="113"/>
        <v>0</v>
      </c>
      <c r="BG100" s="102"/>
      <c r="BH100" s="102"/>
      <c r="BI100" s="102"/>
    </row>
    <row r="101" spans="1:61" s="17" customFormat="1" hidden="1" outlineLevel="1" x14ac:dyDescent="0.25">
      <c r="A101" s="16" t="str">
        <f t="shared" si="112"/>
        <v>Principal</v>
      </c>
      <c r="B101" s="101">
        <f t="shared" si="96"/>
        <v>0</v>
      </c>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f t="shared" si="113"/>
        <v>0</v>
      </c>
      <c r="AI101" s="102">
        <f t="shared" si="113"/>
        <v>0</v>
      </c>
      <c r="AJ101" s="102">
        <f t="shared" si="113"/>
        <v>0</v>
      </c>
      <c r="AK101" s="102">
        <f t="shared" si="113"/>
        <v>0</v>
      </c>
      <c r="AL101" s="102">
        <f t="shared" si="113"/>
        <v>0</v>
      </c>
      <c r="AM101" s="102">
        <f t="shared" si="113"/>
        <v>0</v>
      </c>
      <c r="AN101" s="102">
        <f t="shared" si="113"/>
        <v>0</v>
      </c>
      <c r="AO101" s="102">
        <f t="shared" si="113"/>
        <v>0</v>
      </c>
      <c r="AP101" s="102">
        <f t="shared" si="113"/>
        <v>0</v>
      </c>
      <c r="AQ101" s="102">
        <f t="shared" si="113"/>
        <v>0</v>
      </c>
      <c r="AR101" s="102">
        <f t="shared" si="113"/>
        <v>0</v>
      </c>
      <c r="AS101" s="102">
        <f t="shared" si="113"/>
        <v>0</v>
      </c>
      <c r="AT101" s="102">
        <f t="shared" si="113"/>
        <v>0</v>
      </c>
      <c r="AU101" s="102">
        <f t="shared" si="113"/>
        <v>0</v>
      </c>
      <c r="AV101" s="102">
        <f t="shared" si="113"/>
        <v>0</v>
      </c>
      <c r="AW101" s="102"/>
      <c r="AX101" s="102"/>
      <c r="AY101" s="102"/>
      <c r="AZ101" s="102"/>
      <c r="BA101" s="102"/>
      <c r="BB101" s="102"/>
      <c r="BC101" s="102"/>
      <c r="BD101" s="102"/>
      <c r="BE101" s="102"/>
      <c r="BF101" s="102">
        <f t="shared" si="113"/>
        <v>0</v>
      </c>
      <c r="BG101" s="102"/>
      <c r="BH101" s="102"/>
      <c r="BI101" s="102"/>
    </row>
    <row r="102" spans="1:61" s="17" customFormat="1" hidden="1" outlineLevel="1" x14ac:dyDescent="0.25">
      <c r="A102" s="16" t="str">
        <f t="shared" si="112"/>
        <v>Interest</v>
      </c>
      <c r="B102" s="101">
        <f t="shared" si="96"/>
        <v>0</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f>AG8*AG9/2</f>
        <v>0</v>
      </c>
      <c r="AH102" s="102">
        <f>+AG107*$AG$9/2</f>
        <v>0</v>
      </c>
      <c r="AI102" s="102">
        <f t="shared" ref="AI102:BF102" si="114">+AH107*$AG$9/2</f>
        <v>0</v>
      </c>
      <c r="AJ102" s="102">
        <f t="shared" si="114"/>
        <v>0</v>
      </c>
      <c r="AK102" s="102">
        <f t="shared" si="114"/>
        <v>0</v>
      </c>
      <c r="AL102" s="102">
        <f t="shared" si="114"/>
        <v>0</v>
      </c>
      <c r="AM102" s="102">
        <f t="shared" si="114"/>
        <v>0</v>
      </c>
      <c r="AN102" s="102">
        <f t="shared" si="114"/>
        <v>0</v>
      </c>
      <c r="AO102" s="102">
        <f t="shared" si="114"/>
        <v>0</v>
      </c>
      <c r="AP102" s="102">
        <f t="shared" si="114"/>
        <v>0</v>
      </c>
      <c r="AQ102" s="102">
        <f t="shared" si="114"/>
        <v>0</v>
      </c>
      <c r="AR102" s="102">
        <f t="shared" si="114"/>
        <v>0</v>
      </c>
      <c r="AS102" s="102">
        <f t="shared" si="114"/>
        <v>0</v>
      </c>
      <c r="AT102" s="102">
        <f t="shared" si="114"/>
        <v>0</v>
      </c>
      <c r="AU102" s="102">
        <f t="shared" si="114"/>
        <v>0</v>
      </c>
      <c r="AV102" s="102">
        <f t="shared" si="114"/>
        <v>0</v>
      </c>
      <c r="AW102" s="102"/>
      <c r="AX102" s="102"/>
      <c r="AY102" s="102"/>
      <c r="AZ102" s="102"/>
      <c r="BA102" s="102"/>
      <c r="BB102" s="102"/>
      <c r="BC102" s="102"/>
      <c r="BD102" s="102"/>
      <c r="BE102" s="102"/>
      <c r="BF102" s="102">
        <f t="shared" si="114"/>
        <v>0</v>
      </c>
      <c r="BG102" s="102"/>
      <c r="BH102" s="102"/>
      <c r="BI102" s="102"/>
    </row>
    <row r="103" spans="1:61" s="17" customFormat="1" hidden="1" outlineLevel="1" x14ac:dyDescent="0.25">
      <c r="A103" s="16" t="str">
        <f t="shared" si="112"/>
        <v>Interest</v>
      </c>
      <c r="B103" s="101">
        <f t="shared" si="96"/>
        <v>0</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f>+AH106*$AG$9/2</f>
        <v>0</v>
      </c>
      <c r="AI103" s="102">
        <f t="shared" ref="AI103:BF103" si="115">+AI106*$AG$9/2</f>
        <v>0</v>
      </c>
      <c r="AJ103" s="102">
        <f t="shared" si="115"/>
        <v>0</v>
      </c>
      <c r="AK103" s="102">
        <f t="shared" si="115"/>
        <v>0</v>
      </c>
      <c r="AL103" s="102">
        <f t="shared" si="115"/>
        <v>0</v>
      </c>
      <c r="AM103" s="102">
        <f t="shared" si="115"/>
        <v>0</v>
      </c>
      <c r="AN103" s="102">
        <f t="shared" si="115"/>
        <v>0</v>
      </c>
      <c r="AO103" s="102">
        <f t="shared" si="115"/>
        <v>0</v>
      </c>
      <c r="AP103" s="102">
        <f t="shared" si="115"/>
        <v>0</v>
      </c>
      <c r="AQ103" s="102">
        <f t="shared" si="115"/>
        <v>0</v>
      </c>
      <c r="AR103" s="102">
        <f t="shared" si="115"/>
        <v>0</v>
      </c>
      <c r="AS103" s="102">
        <f t="shared" si="115"/>
        <v>0</v>
      </c>
      <c r="AT103" s="102">
        <f t="shared" si="115"/>
        <v>0</v>
      </c>
      <c r="AU103" s="102">
        <f t="shared" si="115"/>
        <v>0</v>
      </c>
      <c r="AV103" s="102">
        <f t="shared" si="115"/>
        <v>0</v>
      </c>
      <c r="AW103" s="102"/>
      <c r="AX103" s="102"/>
      <c r="AY103" s="102"/>
      <c r="AZ103" s="102"/>
      <c r="BA103" s="102"/>
      <c r="BB103" s="102"/>
      <c r="BC103" s="102"/>
      <c r="BD103" s="102"/>
      <c r="BE103" s="102"/>
      <c r="BF103" s="102">
        <f t="shared" si="115"/>
        <v>0</v>
      </c>
      <c r="BG103" s="102"/>
      <c r="BH103" s="102"/>
      <c r="BI103" s="102"/>
    </row>
    <row r="104" spans="1:61" s="17" customFormat="1" hidden="1" outlineLevel="1" x14ac:dyDescent="0.25">
      <c r="A104" s="16" t="str">
        <f t="shared" si="112"/>
        <v xml:space="preserve">Debt Servicing </v>
      </c>
      <c r="B104" s="101">
        <f t="shared" si="96"/>
        <v>0</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f>-PMT(AG9/2,AG10*2,AG8)</f>
        <v>0</v>
      </c>
      <c r="AH104" s="102">
        <f t="shared" ref="AH104:BF104" si="116">+AG104</f>
        <v>0</v>
      </c>
      <c r="AI104" s="102">
        <f t="shared" si="116"/>
        <v>0</v>
      </c>
      <c r="AJ104" s="102">
        <f t="shared" si="116"/>
        <v>0</v>
      </c>
      <c r="AK104" s="102">
        <f t="shared" si="116"/>
        <v>0</v>
      </c>
      <c r="AL104" s="102">
        <f t="shared" si="116"/>
        <v>0</v>
      </c>
      <c r="AM104" s="102">
        <f t="shared" si="116"/>
        <v>0</v>
      </c>
      <c r="AN104" s="102">
        <f t="shared" si="116"/>
        <v>0</v>
      </c>
      <c r="AO104" s="102">
        <f t="shared" si="116"/>
        <v>0</v>
      </c>
      <c r="AP104" s="102">
        <f t="shared" si="116"/>
        <v>0</v>
      </c>
      <c r="AQ104" s="102">
        <f t="shared" si="116"/>
        <v>0</v>
      </c>
      <c r="AR104" s="102">
        <f t="shared" si="116"/>
        <v>0</v>
      </c>
      <c r="AS104" s="102">
        <f t="shared" si="116"/>
        <v>0</v>
      </c>
      <c r="AT104" s="102">
        <f t="shared" si="116"/>
        <v>0</v>
      </c>
      <c r="AU104" s="102">
        <f t="shared" si="116"/>
        <v>0</v>
      </c>
      <c r="AV104" s="102">
        <f t="shared" si="116"/>
        <v>0</v>
      </c>
      <c r="AW104" s="102"/>
      <c r="AX104" s="102"/>
      <c r="AY104" s="102"/>
      <c r="AZ104" s="102"/>
      <c r="BA104" s="102"/>
      <c r="BB104" s="102"/>
      <c r="BC104" s="102"/>
      <c r="BD104" s="102"/>
      <c r="BE104" s="102"/>
      <c r="BF104" s="102">
        <f t="shared" si="116"/>
        <v>0</v>
      </c>
      <c r="BG104" s="102"/>
      <c r="BH104" s="102"/>
      <c r="BI104" s="102"/>
    </row>
    <row r="105" spans="1:61" s="17" customFormat="1" hidden="1" outlineLevel="1" x14ac:dyDescent="0.25">
      <c r="A105" s="16" t="str">
        <f t="shared" si="112"/>
        <v xml:space="preserve">Debt Servicing </v>
      </c>
      <c r="B105" s="101">
        <f t="shared" si="96"/>
        <v>0</v>
      </c>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f t="shared" ref="AH105:AU105" si="117">+AH104</f>
        <v>0</v>
      </c>
      <c r="AI105" s="102">
        <f t="shared" si="117"/>
        <v>0</v>
      </c>
      <c r="AJ105" s="102">
        <f t="shared" si="117"/>
        <v>0</v>
      </c>
      <c r="AK105" s="102">
        <f t="shared" si="117"/>
        <v>0</v>
      </c>
      <c r="AL105" s="102">
        <f t="shared" si="117"/>
        <v>0</v>
      </c>
      <c r="AM105" s="102">
        <f t="shared" si="117"/>
        <v>0</v>
      </c>
      <c r="AN105" s="102">
        <f t="shared" si="117"/>
        <v>0</v>
      </c>
      <c r="AO105" s="102">
        <f t="shared" si="117"/>
        <v>0</v>
      </c>
      <c r="AP105" s="102">
        <f t="shared" si="117"/>
        <v>0</v>
      </c>
      <c r="AQ105" s="102">
        <f t="shared" si="117"/>
        <v>0</v>
      </c>
      <c r="AR105" s="102">
        <f t="shared" si="117"/>
        <v>0</v>
      </c>
      <c r="AS105" s="102">
        <f t="shared" si="117"/>
        <v>0</v>
      </c>
      <c r="AT105" s="102">
        <f t="shared" si="117"/>
        <v>0</v>
      </c>
      <c r="AU105" s="102">
        <f t="shared" si="117"/>
        <v>0</v>
      </c>
      <c r="AV105" s="102"/>
      <c r="AW105" s="102"/>
      <c r="AX105" s="102"/>
      <c r="AY105" s="102"/>
      <c r="AZ105" s="102"/>
      <c r="BA105" s="102"/>
      <c r="BB105" s="102"/>
      <c r="BC105" s="102"/>
      <c r="BD105" s="102"/>
      <c r="BE105" s="102"/>
      <c r="BF105" s="102"/>
      <c r="BG105" s="102"/>
      <c r="BH105" s="102"/>
      <c r="BI105" s="102"/>
    </row>
    <row r="106" spans="1:61" s="17" customFormat="1" hidden="1" outlineLevel="1" x14ac:dyDescent="0.25">
      <c r="A106" s="16" t="str">
        <f t="shared" si="112"/>
        <v>Balance mid year</v>
      </c>
      <c r="B106" s="101">
        <f t="shared" si="96"/>
        <v>0</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f t="shared" ref="AH106:BF106" si="118">+AG107-AH100</f>
        <v>0</v>
      </c>
      <c r="AI106" s="102">
        <f t="shared" si="118"/>
        <v>0</v>
      </c>
      <c r="AJ106" s="102">
        <f t="shared" si="118"/>
        <v>0</v>
      </c>
      <c r="AK106" s="102">
        <f t="shared" si="118"/>
        <v>0</v>
      </c>
      <c r="AL106" s="102">
        <f t="shared" si="118"/>
        <v>0</v>
      </c>
      <c r="AM106" s="102">
        <f t="shared" si="118"/>
        <v>0</v>
      </c>
      <c r="AN106" s="102">
        <f t="shared" si="118"/>
        <v>0</v>
      </c>
      <c r="AO106" s="102">
        <f t="shared" si="118"/>
        <v>0</v>
      </c>
      <c r="AP106" s="102">
        <f t="shared" si="118"/>
        <v>0</v>
      </c>
      <c r="AQ106" s="102">
        <f t="shared" si="118"/>
        <v>0</v>
      </c>
      <c r="AR106" s="102">
        <f t="shared" si="118"/>
        <v>0</v>
      </c>
      <c r="AS106" s="102">
        <f t="shared" si="118"/>
        <v>0</v>
      </c>
      <c r="AT106" s="102">
        <f t="shared" si="118"/>
        <v>0</v>
      </c>
      <c r="AU106" s="102">
        <f t="shared" si="118"/>
        <v>0</v>
      </c>
      <c r="AV106" s="102">
        <f t="shared" si="118"/>
        <v>0</v>
      </c>
      <c r="AW106" s="102"/>
      <c r="AX106" s="102"/>
      <c r="AY106" s="102"/>
      <c r="AZ106" s="102"/>
      <c r="BA106" s="102"/>
      <c r="BB106" s="102"/>
      <c r="BC106" s="102"/>
      <c r="BD106" s="102"/>
      <c r="BE106" s="102"/>
      <c r="BF106" s="102">
        <f t="shared" si="118"/>
        <v>0</v>
      </c>
      <c r="BG106" s="102"/>
      <c r="BH106" s="102"/>
      <c r="BI106" s="102"/>
    </row>
    <row r="107" spans="1:61" s="17" customFormat="1" hidden="1" outlineLevel="1" x14ac:dyDescent="0.25">
      <c r="A107" s="16" t="str">
        <f t="shared" si="112"/>
        <v>Balance</v>
      </c>
      <c r="B107" s="101">
        <f t="shared" si="96"/>
        <v>0</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f>AG99-AG100</f>
        <v>0</v>
      </c>
      <c r="AH107" s="102">
        <f t="shared" ref="AH107:BF107" si="119">+AH106-AH101</f>
        <v>0</v>
      </c>
      <c r="AI107" s="102">
        <f t="shared" si="119"/>
        <v>0</v>
      </c>
      <c r="AJ107" s="102">
        <f t="shared" si="119"/>
        <v>0</v>
      </c>
      <c r="AK107" s="102">
        <f t="shared" si="119"/>
        <v>0</v>
      </c>
      <c r="AL107" s="102">
        <f t="shared" si="119"/>
        <v>0</v>
      </c>
      <c r="AM107" s="102">
        <f t="shared" si="119"/>
        <v>0</v>
      </c>
      <c r="AN107" s="102">
        <f t="shared" si="119"/>
        <v>0</v>
      </c>
      <c r="AO107" s="102">
        <f t="shared" si="119"/>
        <v>0</v>
      </c>
      <c r="AP107" s="102">
        <f t="shared" si="119"/>
        <v>0</v>
      </c>
      <c r="AQ107" s="102">
        <f t="shared" si="119"/>
        <v>0</v>
      </c>
      <c r="AR107" s="102">
        <f t="shared" si="119"/>
        <v>0</v>
      </c>
      <c r="AS107" s="102">
        <f t="shared" si="119"/>
        <v>0</v>
      </c>
      <c r="AT107" s="102">
        <f t="shared" si="119"/>
        <v>0</v>
      </c>
      <c r="AU107" s="102">
        <f t="shared" si="119"/>
        <v>0</v>
      </c>
      <c r="AV107" s="102">
        <f t="shared" si="119"/>
        <v>0</v>
      </c>
      <c r="AW107" s="102"/>
      <c r="AX107" s="102"/>
      <c r="AY107" s="102"/>
      <c r="AZ107" s="102"/>
      <c r="BA107" s="102"/>
      <c r="BB107" s="102"/>
      <c r="BC107" s="102"/>
      <c r="BD107" s="102"/>
      <c r="BE107" s="102"/>
      <c r="BF107" s="102">
        <f t="shared" si="119"/>
        <v>0</v>
      </c>
      <c r="BG107" s="102"/>
      <c r="BH107" s="102"/>
      <c r="BI107" s="102"/>
    </row>
    <row r="108" spans="1:61" s="17" customFormat="1" hidden="1" outlineLevel="1" x14ac:dyDescent="0.25">
      <c r="A108" s="16"/>
      <c r="B108" s="101">
        <f t="shared" si="96"/>
        <v>0</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row>
    <row r="109" spans="1:61" hidden="1" outlineLevel="1" x14ac:dyDescent="0.25">
      <c r="A109" s="20" t="str">
        <f t="shared" ref="A109:A117" si="120">A99</f>
        <v>Debt Forecasted</v>
      </c>
      <c r="B109" s="101">
        <f t="shared" si="96"/>
        <v>0</v>
      </c>
      <c r="C109" s="102">
        <v>0</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f>AH8</f>
        <v>0</v>
      </c>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row>
    <row r="110" spans="1:61" s="17" customFormat="1" hidden="1" outlineLevel="1" x14ac:dyDescent="0.25">
      <c r="A110" s="16" t="str">
        <f t="shared" si="120"/>
        <v>Principal</v>
      </c>
      <c r="B110" s="101">
        <f t="shared" si="96"/>
        <v>0</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f t="shared" ref="AH110:BG111" si="121">+AH114-AH112</f>
        <v>0</v>
      </c>
      <c r="AI110" s="102">
        <f t="shared" si="121"/>
        <v>0</v>
      </c>
      <c r="AJ110" s="102">
        <f t="shared" si="121"/>
        <v>0</v>
      </c>
      <c r="AK110" s="102">
        <f t="shared" si="121"/>
        <v>0</v>
      </c>
      <c r="AL110" s="102">
        <f t="shared" si="121"/>
        <v>0</v>
      </c>
      <c r="AM110" s="102">
        <f t="shared" si="121"/>
        <v>0</v>
      </c>
      <c r="AN110" s="102">
        <f t="shared" si="121"/>
        <v>0</v>
      </c>
      <c r="AO110" s="102">
        <f t="shared" si="121"/>
        <v>0</v>
      </c>
      <c r="AP110" s="102">
        <f t="shared" si="121"/>
        <v>0</v>
      </c>
      <c r="AQ110" s="102">
        <f t="shared" si="121"/>
        <v>0</v>
      </c>
      <c r="AR110" s="102">
        <f t="shared" si="121"/>
        <v>0</v>
      </c>
      <c r="AS110" s="102">
        <f t="shared" si="121"/>
        <v>0</v>
      </c>
      <c r="AT110" s="102">
        <f t="shared" si="121"/>
        <v>0</v>
      </c>
      <c r="AU110" s="102">
        <f t="shared" si="121"/>
        <v>0</v>
      </c>
      <c r="AV110" s="102">
        <f t="shared" si="121"/>
        <v>0</v>
      </c>
      <c r="AW110" s="102">
        <f t="shared" si="121"/>
        <v>0</v>
      </c>
      <c r="AX110" s="102"/>
      <c r="AY110" s="102"/>
      <c r="AZ110" s="102"/>
      <c r="BA110" s="102"/>
      <c r="BB110" s="102"/>
      <c r="BC110" s="102"/>
      <c r="BD110" s="102"/>
      <c r="BE110" s="102"/>
      <c r="BF110" s="102"/>
      <c r="BG110" s="102">
        <f t="shared" si="121"/>
        <v>0</v>
      </c>
      <c r="BH110" s="102"/>
      <c r="BI110" s="102"/>
    </row>
    <row r="111" spans="1:61" s="17" customFormat="1" hidden="1" outlineLevel="1" x14ac:dyDescent="0.25">
      <c r="A111" s="16" t="str">
        <f t="shared" si="120"/>
        <v>Principal</v>
      </c>
      <c r="B111" s="101">
        <f t="shared" si="96"/>
        <v>0</v>
      </c>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f t="shared" si="121"/>
        <v>0</v>
      </c>
      <c r="AJ111" s="102">
        <f t="shared" si="121"/>
        <v>0</v>
      </c>
      <c r="AK111" s="102">
        <f t="shared" si="121"/>
        <v>0</v>
      </c>
      <c r="AL111" s="102">
        <f t="shared" si="121"/>
        <v>0</v>
      </c>
      <c r="AM111" s="102">
        <f t="shared" si="121"/>
        <v>0</v>
      </c>
      <c r="AN111" s="102">
        <f t="shared" si="121"/>
        <v>0</v>
      </c>
      <c r="AO111" s="102">
        <f t="shared" si="121"/>
        <v>0</v>
      </c>
      <c r="AP111" s="102">
        <f t="shared" si="121"/>
        <v>0</v>
      </c>
      <c r="AQ111" s="102">
        <f t="shared" si="121"/>
        <v>0</v>
      </c>
      <c r="AR111" s="102">
        <f t="shared" si="121"/>
        <v>0</v>
      </c>
      <c r="AS111" s="102">
        <f t="shared" si="121"/>
        <v>0</v>
      </c>
      <c r="AT111" s="102">
        <f t="shared" si="121"/>
        <v>0</v>
      </c>
      <c r="AU111" s="102">
        <f t="shared" si="121"/>
        <v>0</v>
      </c>
      <c r="AV111" s="102">
        <f t="shared" si="121"/>
        <v>0</v>
      </c>
      <c r="AW111" s="102">
        <f t="shared" si="121"/>
        <v>0</v>
      </c>
      <c r="AX111" s="102"/>
      <c r="AY111" s="102"/>
      <c r="AZ111" s="102"/>
      <c r="BA111" s="102"/>
      <c r="BB111" s="102"/>
      <c r="BC111" s="102"/>
      <c r="BD111" s="102"/>
      <c r="BE111" s="102"/>
      <c r="BF111" s="102"/>
      <c r="BG111" s="102">
        <f t="shared" si="121"/>
        <v>0</v>
      </c>
      <c r="BH111" s="102"/>
      <c r="BI111" s="102"/>
    </row>
    <row r="112" spans="1:61" s="17" customFormat="1" hidden="1" outlineLevel="1" x14ac:dyDescent="0.25">
      <c r="A112" s="16" t="str">
        <f t="shared" si="120"/>
        <v>Interest</v>
      </c>
      <c r="B112" s="101">
        <f t="shared" si="96"/>
        <v>0</v>
      </c>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f>+AH109*AH9/2</f>
        <v>0</v>
      </c>
      <c r="AI112" s="102">
        <f>+AH117*$AH$9/2</f>
        <v>0</v>
      </c>
      <c r="AJ112" s="102">
        <f t="shared" ref="AJ112:BG112" si="122">+AI117*$AH$9/2</f>
        <v>0</v>
      </c>
      <c r="AK112" s="102">
        <f t="shared" si="122"/>
        <v>0</v>
      </c>
      <c r="AL112" s="102">
        <f t="shared" si="122"/>
        <v>0</v>
      </c>
      <c r="AM112" s="102">
        <f t="shared" si="122"/>
        <v>0</v>
      </c>
      <c r="AN112" s="102">
        <f t="shared" si="122"/>
        <v>0</v>
      </c>
      <c r="AO112" s="102">
        <f t="shared" si="122"/>
        <v>0</v>
      </c>
      <c r="AP112" s="102">
        <f t="shared" si="122"/>
        <v>0</v>
      </c>
      <c r="AQ112" s="102">
        <f t="shared" si="122"/>
        <v>0</v>
      </c>
      <c r="AR112" s="102">
        <f t="shared" si="122"/>
        <v>0</v>
      </c>
      <c r="AS112" s="102">
        <f t="shared" si="122"/>
        <v>0</v>
      </c>
      <c r="AT112" s="102">
        <f t="shared" si="122"/>
        <v>0</v>
      </c>
      <c r="AU112" s="102">
        <f t="shared" si="122"/>
        <v>0</v>
      </c>
      <c r="AV112" s="102">
        <f t="shared" si="122"/>
        <v>0</v>
      </c>
      <c r="AW112" s="102">
        <f t="shared" si="122"/>
        <v>0</v>
      </c>
      <c r="AX112" s="102"/>
      <c r="AY112" s="102"/>
      <c r="AZ112" s="102"/>
      <c r="BA112" s="102"/>
      <c r="BB112" s="102"/>
      <c r="BC112" s="102"/>
      <c r="BD112" s="102"/>
      <c r="BE112" s="102"/>
      <c r="BF112" s="102"/>
      <c r="BG112" s="102">
        <f t="shared" si="122"/>
        <v>0</v>
      </c>
      <c r="BH112" s="102"/>
      <c r="BI112" s="102"/>
    </row>
    <row r="113" spans="1:61" s="17" customFormat="1" hidden="1" outlineLevel="1" x14ac:dyDescent="0.25">
      <c r="A113" s="16" t="str">
        <f t="shared" si="120"/>
        <v>Interest</v>
      </c>
      <c r="B113" s="101">
        <f t="shared" si="96"/>
        <v>0</v>
      </c>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f>+AI116*$AH$9/2</f>
        <v>0</v>
      </c>
      <c r="AJ113" s="102">
        <f t="shared" ref="AJ113:BG113" si="123">+AJ116*$AH$9/2</f>
        <v>0</v>
      </c>
      <c r="AK113" s="102">
        <f t="shared" si="123"/>
        <v>0</v>
      </c>
      <c r="AL113" s="102">
        <f t="shared" si="123"/>
        <v>0</v>
      </c>
      <c r="AM113" s="102">
        <f t="shared" si="123"/>
        <v>0</v>
      </c>
      <c r="AN113" s="102">
        <f t="shared" si="123"/>
        <v>0</v>
      </c>
      <c r="AO113" s="102">
        <f t="shared" si="123"/>
        <v>0</v>
      </c>
      <c r="AP113" s="102">
        <f t="shared" si="123"/>
        <v>0</v>
      </c>
      <c r="AQ113" s="102">
        <f t="shared" si="123"/>
        <v>0</v>
      </c>
      <c r="AR113" s="102">
        <f t="shared" si="123"/>
        <v>0</v>
      </c>
      <c r="AS113" s="102">
        <f t="shared" si="123"/>
        <v>0</v>
      </c>
      <c r="AT113" s="102">
        <f t="shared" si="123"/>
        <v>0</v>
      </c>
      <c r="AU113" s="102">
        <f t="shared" si="123"/>
        <v>0</v>
      </c>
      <c r="AV113" s="102">
        <f t="shared" si="123"/>
        <v>0</v>
      </c>
      <c r="AW113" s="102">
        <f t="shared" si="123"/>
        <v>0</v>
      </c>
      <c r="AX113" s="102"/>
      <c r="AY113" s="102"/>
      <c r="AZ113" s="102"/>
      <c r="BA113" s="102"/>
      <c r="BB113" s="102"/>
      <c r="BC113" s="102"/>
      <c r="BD113" s="102"/>
      <c r="BE113" s="102"/>
      <c r="BF113" s="102"/>
      <c r="BG113" s="102">
        <f t="shared" si="123"/>
        <v>0</v>
      </c>
      <c r="BH113" s="102"/>
      <c r="BI113" s="102"/>
    </row>
    <row r="114" spans="1:61" s="17" customFormat="1" hidden="1" outlineLevel="1" x14ac:dyDescent="0.25">
      <c r="A114" s="16" t="str">
        <f t="shared" si="120"/>
        <v xml:space="preserve">Debt Servicing </v>
      </c>
      <c r="B114" s="101">
        <f t="shared" si="96"/>
        <v>0</v>
      </c>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f>-PMT(AH9/2,AH10*2,AH8)</f>
        <v>0</v>
      </c>
      <c r="AI114" s="102">
        <f t="shared" ref="AI114:BG114" si="124">+AH114</f>
        <v>0</v>
      </c>
      <c r="AJ114" s="102">
        <f t="shared" si="124"/>
        <v>0</v>
      </c>
      <c r="AK114" s="102">
        <f t="shared" si="124"/>
        <v>0</v>
      </c>
      <c r="AL114" s="102">
        <f t="shared" si="124"/>
        <v>0</v>
      </c>
      <c r="AM114" s="102">
        <f t="shared" si="124"/>
        <v>0</v>
      </c>
      <c r="AN114" s="102">
        <f t="shared" si="124"/>
        <v>0</v>
      </c>
      <c r="AO114" s="102">
        <f t="shared" si="124"/>
        <v>0</v>
      </c>
      <c r="AP114" s="102">
        <f t="shared" si="124"/>
        <v>0</v>
      </c>
      <c r="AQ114" s="102">
        <f t="shared" si="124"/>
        <v>0</v>
      </c>
      <c r="AR114" s="102">
        <f t="shared" si="124"/>
        <v>0</v>
      </c>
      <c r="AS114" s="102">
        <f t="shared" si="124"/>
        <v>0</v>
      </c>
      <c r="AT114" s="102">
        <f t="shared" si="124"/>
        <v>0</v>
      </c>
      <c r="AU114" s="102">
        <f t="shared" si="124"/>
        <v>0</v>
      </c>
      <c r="AV114" s="102">
        <f t="shared" si="124"/>
        <v>0</v>
      </c>
      <c r="AW114" s="102">
        <f t="shared" si="124"/>
        <v>0</v>
      </c>
      <c r="AX114" s="102"/>
      <c r="AY114" s="102"/>
      <c r="AZ114" s="102"/>
      <c r="BA114" s="102"/>
      <c r="BB114" s="102"/>
      <c r="BC114" s="102"/>
      <c r="BD114" s="102"/>
      <c r="BE114" s="102"/>
      <c r="BF114" s="102"/>
      <c r="BG114" s="102">
        <f t="shared" si="124"/>
        <v>0</v>
      </c>
      <c r="BH114" s="102"/>
      <c r="BI114" s="102"/>
    </row>
    <row r="115" spans="1:61" s="17" customFormat="1" hidden="1" outlineLevel="1" x14ac:dyDescent="0.25">
      <c r="A115" s="16" t="str">
        <f t="shared" si="120"/>
        <v xml:space="preserve">Debt Servicing </v>
      </c>
      <c r="B115" s="101">
        <f t="shared" si="96"/>
        <v>0</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f t="shared" ref="AI115:AV115" si="125">+AI114</f>
        <v>0</v>
      </c>
      <c r="AJ115" s="102">
        <f t="shared" si="125"/>
        <v>0</v>
      </c>
      <c r="AK115" s="102">
        <f t="shared" si="125"/>
        <v>0</v>
      </c>
      <c r="AL115" s="102">
        <f t="shared" si="125"/>
        <v>0</v>
      </c>
      <c r="AM115" s="102">
        <f t="shared" si="125"/>
        <v>0</v>
      </c>
      <c r="AN115" s="102">
        <f t="shared" si="125"/>
        <v>0</v>
      </c>
      <c r="AO115" s="102">
        <f t="shared" si="125"/>
        <v>0</v>
      </c>
      <c r="AP115" s="102">
        <f t="shared" si="125"/>
        <v>0</v>
      </c>
      <c r="AQ115" s="102">
        <f t="shared" si="125"/>
        <v>0</v>
      </c>
      <c r="AR115" s="102">
        <f t="shared" si="125"/>
        <v>0</v>
      </c>
      <c r="AS115" s="102">
        <f t="shared" si="125"/>
        <v>0</v>
      </c>
      <c r="AT115" s="102">
        <f t="shared" si="125"/>
        <v>0</v>
      </c>
      <c r="AU115" s="102">
        <f t="shared" si="125"/>
        <v>0</v>
      </c>
      <c r="AV115" s="102">
        <f t="shared" si="125"/>
        <v>0</v>
      </c>
      <c r="AW115" s="102"/>
      <c r="AX115" s="102"/>
      <c r="AY115" s="102"/>
      <c r="AZ115" s="102"/>
      <c r="BA115" s="102"/>
      <c r="BB115" s="102"/>
      <c r="BC115" s="102"/>
      <c r="BD115" s="102"/>
      <c r="BE115" s="102"/>
      <c r="BF115" s="102"/>
      <c r="BG115" s="102"/>
      <c r="BH115" s="102"/>
      <c r="BI115" s="102"/>
    </row>
    <row r="116" spans="1:61" s="17" customFormat="1" hidden="1" outlineLevel="1" x14ac:dyDescent="0.25">
      <c r="A116" s="16" t="str">
        <f t="shared" si="120"/>
        <v>Balance mid year</v>
      </c>
      <c r="B116" s="101">
        <f t="shared" si="96"/>
        <v>0</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f t="shared" ref="AI116:BG116" si="126">+AH117-AI110</f>
        <v>0</v>
      </c>
      <c r="AJ116" s="102">
        <f t="shared" si="126"/>
        <v>0</v>
      </c>
      <c r="AK116" s="102">
        <f t="shared" si="126"/>
        <v>0</v>
      </c>
      <c r="AL116" s="102">
        <f t="shared" si="126"/>
        <v>0</v>
      </c>
      <c r="AM116" s="102">
        <f t="shared" si="126"/>
        <v>0</v>
      </c>
      <c r="AN116" s="102">
        <f t="shared" si="126"/>
        <v>0</v>
      </c>
      <c r="AO116" s="102">
        <f t="shared" si="126"/>
        <v>0</v>
      </c>
      <c r="AP116" s="102">
        <f t="shared" si="126"/>
        <v>0</v>
      </c>
      <c r="AQ116" s="102">
        <f t="shared" si="126"/>
        <v>0</v>
      </c>
      <c r="AR116" s="102">
        <f t="shared" si="126"/>
        <v>0</v>
      </c>
      <c r="AS116" s="102">
        <f t="shared" si="126"/>
        <v>0</v>
      </c>
      <c r="AT116" s="102">
        <f t="shared" si="126"/>
        <v>0</v>
      </c>
      <c r="AU116" s="102">
        <f t="shared" si="126"/>
        <v>0</v>
      </c>
      <c r="AV116" s="102">
        <f t="shared" si="126"/>
        <v>0</v>
      </c>
      <c r="AW116" s="102">
        <f t="shared" si="126"/>
        <v>0</v>
      </c>
      <c r="AX116" s="102"/>
      <c r="AY116" s="102"/>
      <c r="AZ116" s="102"/>
      <c r="BA116" s="102"/>
      <c r="BB116" s="102"/>
      <c r="BC116" s="102"/>
      <c r="BD116" s="102"/>
      <c r="BE116" s="102"/>
      <c r="BF116" s="102"/>
      <c r="BG116" s="102">
        <f t="shared" si="126"/>
        <v>0</v>
      </c>
      <c r="BH116" s="102"/>
      <c r="BI116" s="102"/>
    </row>
    <row r="117" spans="1:61" s="17" customFormat="1" hidden="1" outlineLevel="1" x14ac:dyDescent="0.25">
      <c r="A117" s="16" t="str">
        <f t="shared" si="120"/>
        <v>Balance</v>
      </c>
      <c r="B117" s="101">
        <f t="shared" si="96"/>
        <v>0</v>
      </c>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f>AH109-AH110</f>
        <v>0</v>
      </c>
      <c r="AI117" s="102">
        <f t="shared" ref="AI117:BG117" si="127">+AI116-AI111</f>
        <v>0</v>
      </c>
      <c r="AJ117" s="102">
        <f t="shared" si="127"/>
        <v>0</v>
      </c>
      <c r="AK117" s="102">
        <f t="shared" si="127"/>
        <v>0</v>
      </c>
      <c r="AL117" s="102">
        <f t="shared" si="127"/>
        <v>0</v>
      </c>
      <c r="AM117" s="102">
        <f t="shared" si="127"/>
        <v>0</v>
      </c>
      <c r="AN117" s="102">
        <f t="shared" si="127"/>
        <v>0</v>
      </c>
      <c r="AO117" s="102">
        <f t="shared" si="127"/>
        <v>0</v>
      </c>
      <c r="AP117" s="102">
        <f t="shared" si="127"/>
        <v>0</v>
      </c>
      <c r="AQ117" s="102">
        <f t="shared" si="127"/>
        <v>0</v>
      </c>
      <c r="AR117" s="102">
        <f t="shared" si="127"/>
        <v>0</v>
      </c>
      <c r="AS117" s="102">
        <f t="shared" si="127"/>
        <v>0</v>
      </c>
      <c r="AT117" s="102">
        <f t="shared" si="127"/>
        <v>0</v>
      </c>
      <c r="AU117" s="102">
        <f t="shared" si="127"/>
        <v>0</v>
      </c>
      <c r="AV117" s="102">
        <f t="shared" si="127"/>
        <v>0</v>
      </c>
      <c r="AW117" s="102">
        <f t="shared" si="127"/>
        <v>0</v>
      </c>
      <c r="AX117" s="102"/>
      <c r="AY117" s="102"/>
      <c r="AZ117" s="102"/>
      <c r="BA117" s="102"/>
      <c r="BB117" s="102"/>
      <c r="BC117" s="102"/>
      <c r="BD117" s="102"/>
      <c r="BE117" s="102"/>
      <c r="BF117" s="102"/>
      <c r="BG117" s="102">
        <f t="shared" si="127"/>
        <v>0</v>
      </c>
      <c r="BH117" s="102"/>
      <c r="BI117" s="102"/>
    </row>
    <row r="118" spans="1:61" s="17" customFormat="1" hidden="1" outlineLevel="1" x14ac:dyDescent="0.25">
      <c r="A118" s="16"/>
      <c r="B118" s="101">
        <f t="shared" si="96"/>
        <v>0</v>
      </c>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row>
    <row r="119" spans="1:61" hidden="1" outlineLevel="1" x14ac:dyDescent="0.25">
      <c r="A119" s="20" t="s">
        <v>226</v>
      </c>
      <c r="B119" s="101">
        <f t="shared" si="96"/>
        <v>0</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f>AI8</f>
        <v>0</v>
      </c>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row>
    <row r="120" spans="1:61" s="17" customFormat="1" hidden="1" outlineLevel="1" x14ac:dyDescent="0.25">
      <c r="A120" s="16" t="s">
        <v>163</v>
      </c>
      <c r="B120" s="101">
        <f t="shared" si="96"/>
        <v>0</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f t="shared" ref="AI120:BH121" si="128">+AI124-AI122</f>
        <v>0</v>
      </c>
      <c r="AJ120" s="102">
        <f t="shared" si="128"/>
        <v>0</v>
      </c>
      <c r="AK120" s="102">
        <f t="shared" si="128"/>
        <v>0</v>
      </c>
      <c r="AL120" s="102">
        <f t="shared" si="128"/>
        <v>0</v>
      </c>
      <c r="AM120" s="102">
        <f t="shared" si="128"/>
        <v>0</v>
      </c>
      <c r="AN120" s="102">
        <f t="shared" si="128"/>
        <v>0</v>
      </c>
      <c r="AO120" s="102">
        <f t="shared" si="128"/>
        <v>0</v>
      </c>
      <c r="AP120" s="102">
        <f t="shared" si="128"/>
        <v>0</v>
      </c>
      <c r="AQ120" s="102">
        <f t="shared" si="128"/>
        <v>0</v>
      </c>
      <c r="AR120" s="102">
        <f t="shared" si="128"/>
        <v>0</v>
      </c>
      <c r="AS120" s="102">
        <f t="shared" si="128"/>
        <v>0</v>
      </c>
      <c r="AT120" s="102">
        <f t="shared" si="128"/>
        <v>0</v>
      </c>
      <c r="AU120" s="102">
        <f t="shared" si="128"/>
        <v>0</v>
      </c>
      <c r="AV120" s="102">
        <f t="shared" si="128"/>
        <v>0</v>
      </c>
      <c r="AW120" s="102">
        <f t="shared" si="128"/>
        <v>0</v>
      </c>
      <c r="AX120" s="102">
        <f t="shared" si="128"/>
        <v>0</v>
      </c>
      <c r="AY120" s="102"/>
      <c r="AZ120" s="102"/>
      <c r="BA120" s="102"/>
      <c r="BB120" s="102"/>
      <c r="BC120" s="102"/>
      <c r="BD120" s="102"/>
      <c r="BE120" s="102"/>
      <c r="BF120" s="102"/>
      <c r="BG120" s="102">
        <f t="shared" si="128"/>
        <v>0</v>
      </c>
      <c r="BH120" s="102">
        <f t="shared" si="128"/>
        <v>0</v>
      </c>
      <c r="BI120" s="102"/>
    </row>
    <row r="121" spans="1:61" s="17" customFormat="1" hidden="1" outlineLevel="1" x14ac:dyDescent="0.25">
      <c r="A121" s="16" t="s">
        <v>163</v>
      </c>
      <c r="B121" s="101">
        <f t="shared" si="96"/>
        <v>0</v>
      </c>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f t="shared" si="128"/>
        <v>0</v>
      </c>
      <c r="AK121" s="102">
        <f t="shared" si="128"/>
        <v>0</v>
      </c>
      <c r="AL121" s="102">
        <f t="shared" si="128"/>
        <v>0</v>
      </c>
      <c r="AM121" s="102">
        <f t="shared" si="128"/>
        <v>0</v>
      </c>
      <c r="AN121" s="102">
        <f t="shared" si="128"/>
        <v>0</v>
      </c>
      <c r="AO121" s="102">
        <f t="shared" si="128"/>
        <v>0</v>
      </c>
      <c r="AP121" s="102">
        <f t="shared" si="128"/>
        <v>0</v>
      </c>
      <c r="AQ121" s="102">
        <f t="shared" si="128"/>
        <v>0</v>
      </c>
      <c r="AR121" s="102">
        <f t="shared" si="128"/>
        <v>0</v>
      </c>
      <c r="AS121" s="102">
        <f t="shared" si="128"/>
        <v>0</v>
      </c>
      <c r="AT121" s="102">
        <f t="shared" si="128"/>
        <v>0</v>
      </c>
      <c r="AU121" s="102">
        <f t="shared" si="128"/>
        <v>0</v>
      </c>
      <c r="AV121" s="102">
        <f t="shared" si="128"/>
        <v>0</v>
      </c>
      <c r="AW121" s="102">
        <f t="shared" si="128"/>
        <v>0</v>
      </c>
      <c r="AX121" s="102">
        <f t="shared" si="128"/>
        <v>0</v>
      </c>
      <c r="AY121" s="102"/>
      <c r="AZ121" s="102"/>
      <c r="BA121" s="102"/>
      <c r="BB121" s="102"/>
      <c r="BC121" s="102"/>
      <c r="BD121" s="102"/>
      <c r="BE121" s="102"/>
      <c r="BF121" s="102"/>
      <c r="BG121" s="102">
        <f t="shared" si="128"/>
        <v>0</v>
      </c>
      <c r="BH121" s="102">
        <f t="shared" si="128"/>
        <v>0</v>
      </c>
      <c r="BI121" s="102"/>
    </row>
    <row r="122" spans="1:61" s="17" customFormat="1" hidden="1" outlineLevel="1" x14ac:dyDescent="0.25">
      <c r="A122" s="16" t="s">
        <v>164</v>
      </c>
      <c r="B122" s="101">
        <f t="shared" si="96"/>
        <v>0</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f>+AI119*AI9/2</f>
        <v>0</v>
      </c>
      <c r="AJ122" s="102">
        <f>+AI127*$AI$9/2</f>
        <v>0</v>
      </c>
      <c r="AK122" s="102">
        <f t="shared" ref="AK122:BH122" si="129">+AJ127*$AI$9/2</f>
        <v>0</v>
      </c>
      <c r="AL122" s="102">
        <f t="shared" si="129"/>
        <v>0</v>
      </c>
      <c r="AM122" s="102">
        <f t="shared" si="129"/>
        <v>0</v>
      </c>
      <c r="AN122" s="102">
        <f t="shared" si="129"/>
        <v>0</v>
      </c>
      <c r="AO122" s="102">
        <f t="shared" si="129"/>
        <v>0</v>
      </c>
      <c r="AP122" s="102">
        <f t="shared" si="129"/>
        <v>0</v>
      </c>
      <c r="AQ122" s="102">
        <f t="shared" si="129"/>
        <v>0</v>
      </c>
      <c r="AR122" s="102">
        <f t="shared" si="129"/>
        <v>0</v>
      </c>
      <c r="AS122" s="102">
        <f t="shared" si="129"/>
        <v>0</v>
      </c>
      <c r="AT122" s="102">
        <f t="shared" si="129"/>
        <v>0</v>
      </c>
      <c r="AU122" s="102">
        <f t="shared" si="129"/>
        <v>0</v>
      </c>
      <c r="AV122" s="102">
        <f t="shared" si="129"/>
        <v>0</v>
      </c>
      <c r="AW122" s="102">
        <f t="shared" si="129"/>
        <v>0</v>
      </c>
      <c r="AX122" s="102">
        <f t="shared" si="129"/>
        <v>0</v>
      </c>
      <c r="AY122" s="102"/>
      <c r="AZ122" s="102"/>
      <c r="BA122" s="102"/>
      <c r="BB122" s="102"/>
      <c r="BC122" s="102"/>
      <c r="BD122" s="102"/>
      <c r="BE122" s="102"/>
      <c r="BF122" s="102"/>
      <c r="BG122" s="102">
        <f t="shared" si="129"/>
        <v>0</v>
      </c>
      <c r="BH122" s="102">
        <f t="shared" si="129"/>
        <v>0</v>
      </c>
      <c r="BI122" s="102"/>
    </row>
    <row r="123" spans="1:61" s="17" customFormat="1" hidden="1" outlineLevel="1" x14ac:dyDescent="0.25">
      <c r="A123" s="16" t="s">
        <v>164</v>
      </c>
      <c r="B123" s="101">
        <f t="shared" si="96"/>
        <v>0</v>
      </c>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f>+AJ126*$AI$9/2</f>
        <v>0</v>
      </c>
      <c r="AK123" s="102">
        <f t="shared" ref="AK123:BH123" si="130">+AK126*$AI$9/2</f>
        <v>0</v>
      </c>
      <c r="AL123" s="102">
        <f t="shared" si="130"/>
        <v>0</v>
      </c>
      <c r="AM123" s="102">
        <f t="shared" si="130"/>
        <v>0</v>
      </c>
      <c r="AN123" s="102">
        <f t="shared" si="130"/>
        <v>0</v>
      </c>
      <c r="AO123" s="102">
        <f t="shared" si="130"/>
        <v>0</v>
      </c>
      <c r="AP123" s="102">
        <f t="shared" si="130"/>
        <v>0</v>
      </c>
      <c r="AQ123" s="102">
        <f t="shared" si="130"/>
        <v>0</v>
      </c>
      <c r="AR123" s="102">
        <f t="shared" si="130"/>
        <v>0</v>
      </c>
      <c r="AS123" s="102">
        <f t="shared" si="130"/>
        <v>0</v>
      </c>
      <c r="AT123" s="102">
        <f t="shared" si="130"/>
        <v>0</v>
      </c>
      <c r="AU123" s="102">
        <f t="shared" si="130"/>
        <v>0</v>
      </c>
      <c r="AV123" s="102">
        <f t="shared" si="130"/>
        <v>0</v>
      </c>
      <c r="AW123" s="102">
        <f t="shared" si="130"/>
        <v>0</v>
      </c>
      <c r="AX123" s="102">
        <f t="shared" si="130"/>
        <v>0</v>
      </c>
      <c r="AY123" s="102"/>
      <c r="AZ123" s="102"/>
      <c r="BA123" s="102"/>
      <c r="BB123" s="102"/>
      <c r="BC123" s="102"/>
      <c r="BD123" s="102"/>
      <c r="BE123" s="102"/>
      <c r="BF123" s="102"/>
      <c r="BG123" s="102">
        <f t="shared" si="130"/>
        <v>0</v>
      </c>
      <c r="BH123" s="102">
        <f t="shared" si="130"/>
        <v>0</v>
      </c>
      <c r="BI123" s="102"/>
    </row>
    <row r="124" spans="1:61" s="17" customFormat="1" hidden="1" outlineLevel="1" x14ac:dyDescent="0.25">
      <c r="A124" s="16" t="s">
        <v>220</v>
      </c>
      <c r="B124" s="101">
        <f t="shared" si="96"/>
        <v>0</v>
      </c>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f>-PMT(AI9/2,AI10*2,AI8)</f>
        <v>0</v>
      </c>
      <c r="AJ124" s="102">
        <f t="shared" ref="AJ124:BH124" si="131">+AI124</f>
        <v>0</v>
      </c>
      <c r="AK124" s="102">
        <f t="shared" si="131"/>
        <v>0</v>
      </c>
      <c r="AL124" s="102">
        <f t="shared" si="131"/>
        <v>0</v>
      </c>
      <c r="AM124" s="102">
        <f t="shared" si="131"/>
        <v>0</v>
      </c>
      <c r="AN124" s="102">
        <f t="shared" si="131"/>
        <v>0</v>
      </c>
      <c r="AO124" s="102">
        <f t="shared" si="131"/>
        <v>0</v>
      </c>
      <c r="AP124" s="102">
        <f t="shared" si="131"/>
        <v>0</v>
      </c>
      <c r="AQ124" s="102">
        <f t="shared" si="131"/>
        <v>0</v>
      </c>
      <c r="AR124" s="102">
        <f t="shared" si="131"/>
        <v>0</v>
      </c>
      <c r="AS124" s="102">
        <f t="shared" si="131"/>
        <v>0</v>
      </c>
      <c r="AT124" s="102">
        <f t="shared" si="131"/>
        <v>0</v>
      </c>
      <c r="AU124" s="102">
        <f t="shared" si="131"/>
        <v>0</v>
      </c>
      <c r="AV124" s="102">
        <f t="shared" si="131"/>
        <v>0</v>
      </c>
      <c r="AW124" s="102">
        <f t="shared" si="131"/>
        <v>0</v>
      </c>
      <c r="AX124" s="102">
        <f t="shared" si="131"/>
        <v>0</v>
      </c>
      <c r="AY124" s="102"/>
      <c r="AZ124" s="102"/>
      <c r="BA124" s="102"/>
      <c r="BB124" s="102"/>
      <c r="BC124" s="102"/>
      <c r="BD124" s="102"/>
      <c r="BE124" s="102"/>
      <c r="BF124" s="102"/>
      <c r="BG124" s="102">
        <f t="shared" si="131"/>
        <v>0</v>
      </c>
      <c r="BH124" s="102">
        <f t="shared" si="131"/>
        <v>0</v>
      </c>
      <c r="BI124" s="102"/>
    </row>
    <row r="125" spans="1:61" s="17" customFormat="1" hidden="1" outlineLevel="1" x14ac:dyDescent="0.25">
      <c r="A125" s="16" t="s">
        <v>220</v>
      </c>
      <c r="B125" s="101">
        <f t="shared" si="96"/>
        <v>0</v>
      </c>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f t="shared" ref="AJ125:BG125" si="132">+AJ124</f>
        <v>0</v>
      </c>
      <c r="AK125" s="102">
        <f t="shared" si="132"/>
        <v>0</v>
      </c>
      <c r="AL125" s="102">
        <f t="shared" si="132"/>
        <v>0</v>
      </c>
      <c r="AM125" s="102">
        <f t="shared" si="132"/>
        <v>0</v>
      </c>
      <c r="AN125" s="102">
        <f t="shared" si="132"/>
        <v>0</v>
      </c>
      <c r="AO125" s="102">
        <f t="shared" si="132"/>
        <v>0</v>
      </c>
      <c r="AP125" s="102">
        <f t="shared" si="132"/>
        <v>0</v>
      </c>
      <c r="AQ125" s="102">
        <f t="shared" si="132"/>
        <v>0</v>
      </c>
      <c r="AR125" s="102">
        <f t="shared" si="132"/>
        <v>0</v>
      </c>
      <c r="AS125" s="102">
        <f t="shared" si="132"/>
        <v>0</v>
      </c>
      <c r="AT125" s="102">
        <f t="shared" si="132"/>
        <v>0</v>
      </c>
      <c r="AU125" s="102">
        <f t="shared" si="132"/>
        <v>0</v>
      </c>
      <c r="AV125" s="102">
        <f t="shared" si="132"/>
        <v>0</v>
      </c>
      <c r="AW125" s="102">
        <f t="shared" si="132"/>
        <v>0</v>
      </c>
      <c r="AX125" s="102"/>
      <c r="AY125" s="102"/>
      <c r="AZ125" s="102"/>
      <c r="BA125" s="102"/>
      <c r="BB125" s="102"/>
      <c r="BC125" s="102"/>
      <c r="BD125" s="102"/>
      <c r="BE125" s="102"/>
      <c r="BF125" s="102"/>
      <c r="BG125" s="102">
        <f t="shared" si="132"/>
        <v>0</v>
      </c>
      <c r="BH125" s="102"/>
      <c r="BI125" s="102"/>
    </row>
    <row r="126" spans="1:61" s="17" customFormat="1" hidden="1" outlineLevel="1" x14ac:dyDescent="0.25">
      <c r="A126" s="16" t="s">
        <v>227</v>
      </c>
      <c r="B126" s="101">
        <f t="shared" si="96"/>
        <v>0</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f t="shared" ref="AJ126:BH126" si="133">+AI127-AJ120</f>
        <v>0</v>
      </c>
      <c r="AK126" s="102">
        <f t="shared" si="133"/>
        <v>0</v>
      </c>
      <c r="AL126" s="102">
        <f t="shared" si="133"/>
        <v>0</v>
      </c>
      <c r="AM126" s="102">
        <f t="shared" si="133"/>
        <v>0</v>
      </c>
      <c r="AN126" s="102">
        <f t="shared" si="133"/>
        <v>0</v>
      </c>
      <c r="AO126" s="102">
        <f t="shared" si="133"/>
        <v>0</v>
      </c>
      <c r="AP126" s="102">
        <f t="shared" si="133"/>
        <v>0</v>
      </c>
      <c r="AQ126" s="102">
        <f t="shared" si="133"/>
        <v>0</v>
      </c>
      <c r="AR126" s="102">
        <f t="shared" si="133"/>
        <v>0</v>
      </c>
      <c r="AS126" s="102">
        <f t="shared" si="133"/>
        <v>0</v>
      </c>
      <c r="AT126" s="102">
        <f t="shared" si="133"/>
        <v>0</v>
      </c>
      <c r="AU126" s="102">
        <f t="shared" si="133"/>
        <v>0</v>
      </c>
      <c r="AV126" s="102">
        <f t="shared" si="133"/>
        <v>0</v>
      </c>
      <c r="AW126" s="102">
        <f t="shared" si="133"/>
        <v>0</v>
      </c>
      <c r="AX126" s="102">
        <f t="shared" si="133"/>
        <v>0</v>
      </c>
      <c r="AY126" s="102"/>
      <c r="AZ126" s="102"/>
      <c r="BA126" s="102"/>
      <c r="BB126" s="102"/>
      <c r="BC126" s="102"/>
      <c r="BD126" s="102"/>
      <c r="BE126" s="102"/>
      <c r="BF126" s="102"/>
      <c r="BG126" s="102">
        <f t="shared" si="133"/>
        <v>0</v>
      </c>
      <c r="BH126" s="102">
        <f t="shared" si="133"/>
        <v>0</v>
      </c>
      <c r="BI126" s="102"/>
    </row>
    <row r="127" spans="1:61" s="17" customFormat="1" hidden="1" outlineLevel="1" x14ac:dyDescent="0.25">
      <c r="A127" s="16" t="s">
        <v>16</v>
      </c>
      <c r="B127" s="101">
        <f t="shared" si="96"/>
        <v>0</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f>AI119-AI120</f>
        <v>0</v>
      </c>
      <c r="AJ127" s="102">
        <f t="shared" ref="AJ127:BH127" si="134">+AJ126-AJ121</f>
        <v>0</v>
      </c>
      <c r="AK127" s="102">
        <f t="shared" si="134"/>
        <v>0</v>
      </c>
      <c r="AL127" s="102">
        <f t="shared" si="134"/>
        <v>0</v>
      </c>
      <c r="AM127" s="102">
        <f t="shared" si="134"/>
        <v>0</v>
      </c>
      <c r="AN127" s="102">
        <f t="shared" si="134"/>
        <v>0</v>
      </c>
      <c r="AO127" s="102">
        <f t="shared" si="134"/>
        <v>0</v>
      </c>
      <c r="AP127" s="102">
        <f t="shared" si="134"/>
        <v>0</v>
      </c>
      <c r="AQ127" s="102">
        <f t="shared" si="134"/>
        <v>0</v>
      </c>
      <c r="AR127" s="102">
        <f t="shared" si="134"/>
        <v>0</v>
      </c>
      <c r="AS127" s="102">
        <f t="shared" si="134"/>
        <v>0</v>
      </c>
      <c r="AT127" s="102">
        <f t="shared" si="134"/>
        <v>0</v>
      </c>
      <c r="AU127" s="102">
        <f t="shared" si="134"/>
        <v>0</v>
      </c>
      <c r="AV127" s="102">
        <f t="shared" si="134"/>
        <v>0</v>
      </c>
      <c r="AW127" s="102">
        <f t="shared" si="134"/>
        <v>0</v>
      </c>
      <c r="AX127" s="102">
        <f t="shared" si="134"/>
        <v>0</v>
      </c>
      <c r="AY127" s="102"/>
      <c r="AZ127" s="102"/>
      <c r="BA127" s="102"/>
      <c r="BB127" s="102"/>
      <c r="BC127" s="102"/>
      <c r="BD127" s="102"/>
      <c r="BE127" s="102"/>
      <c r="BF127" s="102"/>
      <c r="BG127" s="102">
        <f t="shared" si="134"/>
        <v>0</v>
      </c>
      <c r="BH127" s="102">
        <f t="shared" si="134"/>
        <v>0</v>
      </c>
      <c r="BI127" s="102"/>
    </row>
    <row r="128" spans="1:61" s="17" customFormat="1" hidden="1" outlineLevel="1" x14ac:dyDescent="0.25">
      <c r="A128" s="16"/>
      <c r="B128" s="101">
        <f t="shared" si="96"/>
        <v>0</v>
      </c>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row>
    <row r="129" spans="1:61" s="17" customFormat="1" collapsed="1" x14ac:dyDescent="0.25">
      <c r="A129" s="16"/>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row>
    <row r="130" spans="1:61" s="104" customFormat="1" x14ac:dyDescent="0.25">
      <c r="A130" s="21" t="s">
        <v>228</v>
      </c>
      <c r="B130" s="101">
        <f>SUM(C130:BJ130)</f>
        <v>18775.64</v>
      </c>
      <c r="C130" s="103"/>
      <c r="D130" s="103">
        <f t="shared" ref="D130:BI130" si="135">SUMIF($A$29:$A$129,"Debt Forecasted",D29:D129)</f>
        <v>0</v>
      </c>
      <c r="E130" s="103">
        <f t="shared" si="135"/>
        <v>0</v>
      </c>
      <c r="F130" s="103">
        <f t="shared" si="135"/>
        <v>0</v>
      </c>
      <c r="G130" s="103">
        <f t="shared" si="135"/>
        <v>0</v>
      </c>
      <c r="H130" s="103">
        <f t="shared" si="135"/>
        <v>0</v>
      </c>
      <c r="I130" s="103">
        <f t="shared" si="135"/>
        <v>0</v>
      </c>
      <c r="J130" s="103">
        <f t="shared" si="135"/>
        <v>0</v>
      </c>
      <c r="K130" s="103">
        <f t="shared" si="135"/>
        <v>0</v>
      </c>
      <c r="L130" s="103">
        <f t="shared" si="135"/>
        <v>0</v>
      </c>
      <c r="M130" s="103">
        <f t="shared" si="135"/>
        <v>0</v>
      </c>
      <c r="N130" s="103">
        <f t="shared" si="135"/>
        <v>0</v>
      </c>
      <c r="O130" s="103">
        <f t="shared" si="135"/>
        <v>0</v>
      </c>
      <c r="P130" s="103">
        <f t="shared" si="135"/>
        <v>0</v>
      </c>
      <c r="Q130" s="103">
        <f t="shared" si="135"/>
        <v>0</v>
      </c>
      <c r="R130" s="103">
        <f t="shared" si="135"/>
        <v>0</v>
      </c>
      <c r="S130" s="103">
        <f t="shared" si="135"/>
        <v>0</v>
      </c>
      <c r="T130" s="103">
        <f t="shared" si="135"/>
        <v>0</v>
      </c>
      <c r="U130" s="103">
        <f t="shared" si="135"/>
        <v>0</v>
      </c>
      <c r="V130" s="103">
        <f t="shared" si="135"/>
        <v>0</v>
      </c>
      <c r="W130" s="103">
        <f t="shared" si="135"/>
        <v>0</v>
      </c>
      <c r="X130" s="103">
        <f t="shared" si="135"/>
        <v>0</v>
      </c>
      <c r="Y130" s="103">
        <f t="shared" si="135"/>
        <v>0</v>
      </c>
      <c r="Z130" s="103">
        <f t="shared" si="135"/>
        <v>367.64</v>
      </c>
      <c r="AA130" s="103">
        <f t="shared" si="135"/>
        <v>3088.8</v>
      </c>
      <c r="AB130" s="103">
        <f t="shared" si="135"/>
        <v>3088.8</v>
      </c>
      <c r="AC130" s="103">
        <f t="shared" si="135"/>
        <v>12230.4</v>
      </c>
      <c r="AD130" s="103">
        <f t="shared" si="135"/>
        <v>0</v>
      </c>
      <c r="AE130" s="103">
        <f t="shared" si="135"/>
        <v>0</v>
      </c>
      <c r="AF130" s="103">
        <f t="shared" si="135"/>
        <v>0</v>
      </c>
      <c r="AG130" s="103">
        <f t="shared" si="135"/>
        <v>0</v>
      </c>
      <c r="AH130" s="103">
        <f t="shared" si="135"/>
        <v>0</v>
      </c>
      <c r="AI130" s="103">
        <f t="shared" si="135"/>
        <v>0</v>
      </c>
      <c r="AJ130" s="103">
        <f t="shared" si="135"/>
        <v>0</v>
      </c>
      <c r="AK130" s="103">
        <f t="shared" si="135"/>
        <v>0</v>
      </c>
      <c r="AL130" s="103">
        <f t="shared" si="135"/>
        <v>0</v>
      </c>
      <c r="AM130" s="103">
        <f t="shared" si="135"/>
        <v>0</v>
      </c>
      <c r="AN130" s="103">
        <f t="shared" si="135"/>
        <v>0</v>
      </c>
      <c r="AO130" s="103">
        <f t="shared" si="135"/>
        <v>0</v>
      </c>
      <c r="AP130" s="103">
        <f t="shared" si="135"/>
        <v>0</v>
      </c>
      <c r="AQ130" s="103">
        <f t="shared" si="135"/>
        <v>0</v>
      </c>
      <c r="AR130" s="103">
        <f t="shared" si="135"/>
        <v>0</v>
      </c>
      <c r="AS130" s="103">
        <f t="shared" si="135"/>
        <v>0</v>
      </c>
      <c r="AT130" s="103">
        <f t="shared" si="135"/>
        <v>0</v>
      </c>
      <c r="AU130" s="103">
        <f t="shared" si="135"/>
        <v>0</v>
      </c>
      <c r="AV130" s="103">
        <f t="shared" si="135"/>
        <v>0</v>
      </c>
      <c r="AW130" s="103">
        <f t="shared" si="135"/>
        <v>0</v>
      </c>
      <c r="AX130" s="103">
        <f t="shared" si="135"/>
        <v>0</v>
      </c>
      <c r="AY130" s="103">
        <f t="shared" si="135"/>
        <v>0</v>
      </c>
      <c r="AZ130" s="103">
        <f t="shared" si="135"/>
        <v>0</v>
      </c>
      <c r="BA130" s="103">
        <f t="shared" si="135"/>
        <v>0</v>
      </c>
      <c r="BB130" s="103">
        <f t="shared" si="135"/>
        <v>0</v>
      </c>
      <c r="BC130" s="103">
        <f t="shared" si="135"/>
        <v>0</v>
      </c>
      <c r="BD130" s="103">
        <f t="shared" si="135"/>
        <v>0</v>
      </c>
      <c r="BE130" s="103">
        <f t="shared" si="135"/>
        <v>0</v>
      </c>
      <c r="BF130" s="103">
        <f t="shared" si="135"/>
        <v>0</v>
      </c>
      <c r="BG130" s="103">
        <f t="shared" si="135"/>
        <v>0</v>
      </c>
      <c r="BH130" s="103">
        <f t="shared" si="135"/>
        <v>0</v>
      </c>
      <c r="BI130" s="103">
        <f t="shared" si="135"/>
        <v>0</v>
      </c>
    </row>
    <row r="131" spans="1:61" s="17" customFormat="1" x14ac:dyDescent="0.25">
      <c r="A131" s="16" t="s">
        <v>223</v>
      </c>
      <c r="B131" s="101">
        <f t="shared" ref="B131:B133" si="136">SUM(C131:BJ131)</f>
        <v>18775.64</v>
      </c>
      <c r="C131" s="102">
        <f t="shared" ref="C131:AI131" si="137">SUMIF($A$29:$A$129,"Principal",C29:C129)</f>
        <v>0</v>
      </c>
      <c r="D131" s="102">
        <f t="shared" si="137"/>
        <v>0</v>
      </c>
      <c r="E131" s="102">
        <f t="shared" si="137"/>
        <v>0</v>
      </c>
      <c r="F131" s="102">
        <f t="shared" si="137"/>
        <v>0</v>
      </c>
      <c r="G131" s="102">
        <f t="shared" si="137"/>
        <v>0</v>
      </c>
      <c r="H131" s="102">
        <f t="shared" si="137"/>
        <v>0</v>
      </c>
      <c r="I131" s="102">
        <f t="shared" si="137"/>
        <v>0</v>
      </c>
      <c r="J131" s="102">
        <f t="shared" si="137"/>
        <v>0</v>
      </c>
      <c r="K131" s="102">
        <f t="shared" si="137"/>
        <v>0</v>
      </c>
      <c r="L131" s="102">
        <f t="shared" si="137"/>
        <v>0</v>
      </c>
      <c r="M131" s="102">
        <f t="shared" si="137"/>
        <v>0</v>
      </c>
      <c r="N131" s="102">
        <f t="shared" si="137"/>
        <v>0</v>
      </c>
      <c r="O131" s="102">
        <f t="shared" si="137"/>
        <v>0</v>
      </c>
      <c r="P131" s="102">
        <f t="shared" si="137"/>
        <v>0</v>
      </c>
      <c r="Q131" s="102">
        <f t="shared" si="137"/>
        <v>0</v>
      </c>
      <c r="R131" s="102">
        <f t="shared" si="137"/>
        <v>0</v>
      </c>
      <c r="S131" s="102">
        <f t="shared" si="137"/>
        <v>0</v>
      </c>
      <c r="T131" s="102">
        <f t="shared" si="137"/>
        <v>0</v>
      </c>
      <c r="U131" s="102">
        <f t="shared" si="137"/>
        <v>0</v>
      </c>
      <c r="V131" s="102">
        <f t="shared" si="137"/>
        <v>0</v>
      </c>
      <c r="W131" s="102">
        <f t="shared" si="137"/>
        <v>0</v>
      </c>
      <c r="X131" s="102">
        <f t="shared" si="137"/>
        <v>0</v>
      </c>
      <c r="Y131" s="102">
        <f t="shared" si="137"/>
        <v>0</v>
      </c>
      <c r="Z131" s="102">
        <f>SUMIF($A$29:$A$129,"Principal",Z29:Z129)</f>
        <v>3.5101491736429686</v>
      </c>
      <c r="AA131" s="102">
        <f t="shared" si="137"/>
        <v>77.092508857103383</v>
      </c>
      <c r="AB131" s="102">
        <f t="shared" si="137"/>
        <v>222.39302915895558</v>
      </c>
      <c r="AC131" s="102">
        <f t="shared" si="137"/>
        <v>579.84549074423103</v>
      </c>
      <c r="AD131" s="102">
        <f t="shared" si="137"/>
        <v>891.63313094571004</v>
      </c>
      <c r="AE131" s="102">
        <f t="shared" si="137"/>
        <v>938.265710226431</v>
      </c>
      <c r="AF131" s="102">
        <f t="shared" si="137"/>
        <v>987.33742364097463</v>
      </c>
      <c r="AG131" s="102">
        <f t="shared" si="137"/>
        <v>1038.975863914447</v>
      </c>
      <c r="AH131" s="102">
        <f t="shared" si="137"/>
        <v>1093.3152989240334</v>
      </c>
      <c r="AI131" s="102">
        <f t="shared" si="137"/>
        <v>1150.4970209539295</v>
      </c>
      <c r="AJ131" s="102">
        <f>SUMIF($A$29:$A$129,"Principal",AJ29:AJ129)</f>
        <v>1210.6697142258533</v>
      </c>
      <c r="AK131" s="102">
        <f t="shared" ref="AK131:BI131" si="138">SUMIF($A$29:$A$129,"Principal",AK29:AK129)</f>
        <v>1273.989841661562</v>
      </c>
      <c r="AL131" s="102">
        <f t="shared" si="138"/>
        <v>1340.622051883845</v>
      </c>
      <c r="AM131" s="102">
        <f t="shared" si="138"/>
        <v>1410.7396075151598</v>
      </c>
      <c r="AN131" s="102">
        <f t="shared" si="138"/>
        <v>1484.5248358884915</v>
      </c>
      <c r="AO131" s="102">
        <f t="shared" si="138"/>
        <v>1562.1696033433734</v>
      </c>
      <c r="AP131" s="102">
        <f t="shared" si="138"/>
        <v>1495.285290434851</v>
      </c>
      <c r="AQ131" s="102">
        <f t="shared" si="138"/>
        <v>1272.5180325691106</v>
      </c>
      <c r="AR131" s="102">
        <f t="shared" si="138"/>
        <v>595.13583490531073</v>
      </c>
      <c r="AS131" s="102">
        <f t="shared" si="138"/>
        <v>19.400955544159501</v>
      </c>
      <c r="AT131" s="102">
        <f t="shared" si="138"/>
        <v>20.481696649086416</v>
      </c>
      <c r="AU131" s="102">
        <f t="shared" si="138"/>
        <v>21.622641043135872</v>
      </c>
      <c r="AV131" s="102">
        <f t="shared" si="138"/>
        <v>22.827142384278915</v>
      </c>
      <c r="AW131" s="102">
        <f t="shared" si="138"/>
        <v>24.098741147883956</v>
      </c>
      <c r="AX131" s="102">
        <f t="shared" si="138"/>
        <v>25.441175033484619</v>
      </c>
      <c r="AY131" s="102">
        <f t="shared" si="138"/>
        <v>13.247209230952807</v>
      </c>
      <c r="AZ131" s="102">
        <f t="shared" si="138"/>
        <v>0</v>
      </c>
      <c r="BA131" s="102">
        <f t="shared" si="138"/>
        <v>0</v>
      </c>
      <c r="BB131" s="102">
        <f t="shared" si="138"/>
        <v>0</v>
      </c>
      <c r="BC131" s="102">
        <f t="shared" si="138"/>
        <v>0</v>
      </c>
      <c r="BD131" s="102">
        <f t="shared" si="138"/>
        <v>0</v>
      </c>
      <c r="BE131" s="102">
        <f t="shared" si="138"/>
        <v>0</v>
      </c>
      <c r="BF131" s="102">
        <f t="shared" si="138"/>
        <v>0</v>
      </c>
      <c r="BG131" s="102">
        <f t="shared" si="138"/>
        <v>0</v>
      </c>
      <c r="BH131" s="102">
        <f t="shared" si="138"/>
        <v>0</v>
      </c>
      <c r="BI131" s="102">
        <f t="shared" si="138"/>
        <v>0</v>
      </c>
    </row>
    <row r="132" spans="1:61" s="17" customFormat="1" x14ac:dyDescent="0.25">
      <c r="A132" s="16" t="s">
        <v>224</v>
      </c>
      <c r="B132" s="101">
        <f t="shared" si="136"/>
        <v>8574.8912399182391</v>
      </c>
      <c r="C132" s="102">
        <f t="shared" ref="C132:BI132" si="139">SUMIF($A$29:$A$129,"Interest",C29:C129)</f>
        <v>0</v>
      </c>
      <c r="D132" s="102">
        <f t="shared" si="139"/>
        <v>0</v>
      </c>
      <c r="E132" s="102">
        <f t="shared" si="139"/>
        <v>0</v>
      </c>
      <c r="F132" s="102">
        <f t="shared" si="139"/>
        <v>0</v>
      </c>
      <c r="G132" s="102">
        <f t="shared" si="139"/>
        <v>0</v>
      </c>
      <c r="H132" s="102">
        <f t="shared" si="139"/>
        <v>0</v>
      </c>
      <c r="I132" s="102">
        <f t="shared" si="139"/>
        <v>0</v>
      </c>
      <c r="J132" s="102">
        <f t="shared" si="139"/>
        <v>0</v>
      </c>
      <c r="K132" s="102">
        <f t="shared" si="139"/>
        <v>0</v>
      </c>
      <c r="L132" s="102">
        <f t="shared" si="139"/>
        <v>0</v>
      </c>
      <c r="M132" s="102">
        <f t="shared" si="139"/>
        <v>0</v>
      </c>
      <c r="N132" s="102">
        <f t="shared" si="139"/>
        <v>0</v>
      </c>
      <c r="O132" s="102">
        <f t="shared" si="139"/>
        <v>0</v>
      </c>
      <c r="P132" s="102">
        <f t="shared" si="139"/>
        <v>0</v>
      </c>
      <c r="Q132" s="102">
        <f t="shared" si="139"/>
        <v>0</v>
      </c>
      <c r="R132" s="102">
        <f t="shared" si="139"/>
        <v>0</v>
      </c>
      <c r="S132" s="102">
        <f t="shared" si="139"/>
        <v>0</v>
      </c>
      <c r="T132" s="102">
        <f t="shared" si="139"/>
        <v>0</v>
      </c>
      <c r="U132" s="102">
        <f t="shared" si="139"/>
        <v>0</v>
      </c>
      <c r="V132" s="102">
        <f t="shared" si="139"/>
        <v>0</v>
      </c>
      <c r="W132" s="102">
        <f t="shared" si="139"/>
        <v>0</v>
      </c>
      <c r="X132" s="102">
        <f t="shared" si="139"/>
        <v>0</v>
      </c>
      <c r="Y132" s="102">
        <f t="shared" si="139"/>
        <v>0</v>
      </c>
      <c r="Z132" s="102">
        <f t="shared" si="139"/>
        <v>10.101031546666665</v>
      </c>
      <c r="AA132" s="102">
        <f t="shared" si="139"/>
        <v>98.720376490057845</v>
      </c>
      <c r="AB132" s="102">
        <f t="shared" si="139"/>
        <v>250.69670483174954</v>
      </c>
      <c r="AC132" s="102">
        <f t="shared" si="139"/>
        <v>633.65279280335744</v>
      </c>
      <c r="AD132" s="102">
        <f t="shared" si="139"/>
        <v>913.58737742175981</v>
      </c>
      <c r="AE132" s="102">
        <f t="shared" si="139"/>
        <v>866.95479814103874</v>
      </c>
      <c r="AF132" s="102">
        <f t="shared" si="139"/>
        <v>817.8830847264951</v>
      </c>
      <c r="AG132" s="102">
        <f t="shared" si="139"/>
        <v>766.24464445302272</v>
      </c>
      <c r="AH132" s="102">
        <f t="shared" si="139"/>
        <v>711.90520944343621</v>
      </c>
      <c r="AI132" s="102">
        <f t="shared" si="139"/>
        <v>654.72348741354017</v>
      </c>
      <c r="AJ132" s="102">
        <f t="shared" si="139"/>
        <v>594.55079414161628</v>
      </c>
      <c r="AK132" s="102">
        <f t="shared" si="139"/>
        <v>531.23066670590788</v>
      </c>
      <c r="AL132" s="102">
        <f t="shared" si="139"/>
        <v>464.59845648362466</v>
      </c>
      <c r="AM132" s="102">
        <f t="shared" si="139"/>
        <v>394.48090085230979</v>
      </c>
      <c r="AN132" s="102">
        <f t="shared" si="139"/>
        <v>320.69567247897839</v>
      </c>
      <c r="AO132" s="102">
        <f t="shared" si="139"/>
        <v>243.05090502409627</v>
      </c>
      <c r="AP132" s="102">
        <f t="shared" si="139"/>
        <v>161.3446940260767</v>
      </c>
      <c r="AQ132" s="102">
        <f t="shared" si="139"/>
        <v>86.835103248273228</v>
      </c>
      <c r="AR132" s="102">
        <f t="shared" si="139"/>
        <v>23.808751355189798</v>
      </c>
      <c r="AS132" s="102">
        <f t="shared" si="139"/>
        <v>7.8214058964597646</v>
      </c>
      <c r="AT132" s="102">
        <f t="shared" si="139"/>
        <v>6.7406647915328506</v>
      </c>
      <c r="AU132" s="102">
        <f t="shared" si="139"/>
        <v>5.5997203974833951</v>
      </c>
      <c r="AV132" s="102">
        <f t="shared" si="139"/>
        <v>4.395219056340351</v>
      </c>
      <c r="AW132" s="102">
        <f t="shared" si="139"/>
        <v>3.1236202927353114</v>
      </c>
      <c r="AX132" s="102">
        <f t="shared" si="139"/>
        <v>1.7811864071346475</v>
      </c>
      <c r="AY132" s="102">
        <f t="shared" si="139"/>
        <v>0.36397148935682661</v>
      </c>
      <c r="AZ132" s="102">
        <f t="shared" si="139"/>
        <v>0</v>
      </c>
      <c r="BA132" s="102">
        <f t="shared" si="139"/>
        <v>0</v>
      </c>
      <c r="BB132" s="102">
        <f t="shared" si="139"/>
        <v>0</v>
      </c>
      <c r="BC132" s="102">
        <f t="shared" si="139"/>
        <v>0</v>
      </c>
      <c r="BD132" s="102">
        <f t="shared" si="139"/>
        <v>0</v>
      </c>
      <c r="BE132" s="102">
        <f t="shared" si="139"/>
        <v>0</v>
      </c>
      <c r="BF132" s="102">
        <f t="shared" si="139"/>
        <v>0</v>
      </c>
      <c r="BG132" s="102">
        <f t="shared" si="139"/>
        <v>0</v>
      </c>
      <c r="BH132" s="102">
        <f t="shared" si="139"/>
        <v>0</v>
      </c>
      <c r="BI132" s="102">
        <f t="shared" si="139"/>
        <v>0</v>
      </c>
    </row>
    <row r="133" spans="1:61" s="17" customFormat="1" x14ac:dyDescent="0.25">
      <c r="A133" s="16" t="s">
        <v>225</v>
      </c>
      <c r="B133" s="101">
        <f t="shared" si="136"/>
        <v>27350.531239918226</v>
      </c>
      <c r="C133" s="102">
        <f>+C131+C132</f>
        <v>0</v>
      </c>
      <c r="D133" s="102">
        <f t="shared" ref="D133:BI133" si="140">+D131+D132</f>
        <v>0</v>
      </c>
      <c r="E133" s="102">
        <f t="shared" si="140"/>
        <v>0</v>
      </c>
      <c r="F133" s="102">
        <f t="shared" si="140"/>
        <v>0</v>
      </c>
      <c r="G133" s="102">
        <f t="shared" si="140"/>
        <v>0</v>
      </c>
      <c r="H133" s="102">
        <f t="shared" si="140"/>
        <v>0</v>
      </c>
      <c r="I133" s="102">
        <f t="shared" si="140"/>
        <v>0</v>
      </c>
      <c r="J133" s="102">
        <f t="shared" si="140"/>
        <v>0</v>
      </c>
      <c r="K133" s="102">
        <f t="shared" si="140"/>
        <v>0</v>
      </c>
      <c r="L133" s="102">
        <f t="shared" si="140"/>
        <v>0</v>
      </c>
      <c r="M133" s="102">
        <f t="shared" si="140"/>
        <v>0</v>
      </c>
      <c r="N133" s="102">
        <f t="shared" si="140"/>
        <v>0</v>
      </c>
      <c r="O133" s="102">
        <f t="shared" si="140"/>
        <v>0</v>
      </c>
      <c r="P133" s="102">
        <f t="shared" si="140"/>
        <v>0</v>
      </c>
      <c r="Q133" s="102">
        <f t="shared" si="140"/>
        <v>0</v>
      </c>
      <c r="R133" s="102">
        <f t="shared" si="140"/>
        <v>0</v>
      </c>
      <c r="S133" s="102">
        <f t="shared" si="140"/>
        <v>0</v>
      </c>
      <c r="T133" s="102">
        <f t="shared" si="140"/>
        <v>0</v>
      </c>
      <c r="U133" s="102">
        <f t="shared" si="140"/>
        <v>0</v>
      </c>
      <c r="V133" s="102">
        <f t="shared" si="140"/>
        <v>0</v>
      </c>
      <c r="W133" s="102">
        <f t="shared" si="140"/>
        <v>0</v>
      </c>
      <c r="X133" s="102">
        <f t="shared" si="140"/>
        <v>0</v>
      </c>
      <c r="Y133" s="102">
        <f t="shared" si="140"/>
        <v>0</v>
      </c>
      <c r="Z133" s="102">
        <f t="shared" si="140"/>
        <v>13.611180720309633</v>
      </c>
      <c r="AA133" s="102">
        <f t="shared" si="140"/>
        <v>175.81288534716123</v>
      </c>
      <c r="AB133" s="102">
        <f t="shared" si="140"/>
        <v>473.0897339907051</v>
      </c>
      <c r="AC133" s="102">
        <f t="shared" si="140"/>
        <v>1213.4982835475885</v>
      </c>
      <c r="AD133" s="102">
        <f t="shared" si="140"/>
        <v>1805.2205083674698</v>
      </c>
      <c r="AE133" s="102">
        <f t="shared" si="140"/>
        <v>1805.2205083674698</v>
      </c>
      <c r="AF133" s="102">
        <f t="shared" si="140"/>
        <v>1805.2205083674698</v>
      </c>
      <c r="AG133" s="102">
        <f t="shared" si="140"/>
        <v>1805.2205083674698</v>
      </c>
      <c r="AH133" s="102">
        <f t="shared" si="140"/>
        <v>1805.2205083674696</v>
      </c>
      <c r="AI133" s="102">
        <f t="shared" si="140"/>
        <v>1805.2205083674696</v>
      </c>
      <c r="AJ133" s="102">
        <f t="shared" si="140"/>
        <v>1805.2205083674696</v>
      </c>
      <c r="AK133" s="102">
        <f t="shared" si="140"/>
        <v>1805.2205083674698</v>
      </c>
      <c r="AL133" s="102">
        <f t="shared" si="140"/>
        <v>1805.2205083674696</v>
      </c>
      <c r="AM133" s="102">
        <f t="shared" si="140"/>
        <v>1805.2205083674696</v>
      </c>
      <c r="AN133" s="102">
        <f t="shared" si="140"/>
        <v>1805.2205083674698</v>
      </c>
      <c r="AO133" s="102">
        <f t="shared" si="140"/>
        <v>1805.2205083674696</v>
      </c>
      <c r="AP133" s="102">
        <f t="shared" si="140"/>
        <v>1656.6299844609277</v>
      </c>
      <c r="AQ133" s="102">
        <f t="shared" si="140"/>
        <v>1359.3531358173839</v>
      </c>
      <c r="AR133" s="102">
        <f t="shared" si="140"/>
        <v>618.9445862605005</v>
      </c>
      <c r="AS133" s="102">
        <f t="shared" si="140"/>
        <v>27.222361440619267</v>
      </c>
      <c r="AT133" s="102">
        <f t="shared" si="140"/>
        <v>27.222361440619267</v>
      </c>
      <c r="AU133" s="102">
        <f t="shared" si="140"/>
        <v>27.222361440619267</v>
      </c>
      <c r="AV133" s="102">
        <f t="shared" si="140"/>
        <v>27.222361440619267</v>
      </c>
      <c r="AW133" s="102">
        <f t="shared" si="140"/>
        <v>27.222361440619267</v>
      </c>
      <c r="AX133" s="102">
        <f t="shared" si="140"/>
        <v>27.222361440619267</v>
      </c>
      <c r="AY133" s="102">
        <f t="shared" si="140"/>
        <v>13.611180720309633</v>
      </c>
      <c r="AZ133" s="102">
        <f t="shared" si="140"/>
        <v>0</v>
      </c>
      <c r="BA133" s="102">
        <f t="shared" si="140"/>
        <v>0</v>
      </c>
      <c r="BB133" s="102">
        <f t="shared" si="140"/>
        <v>0</v>
      </c>
      <c r="BC133" s="102">
        <f t="shared" si="140"/>
        <v>0</v>
      </c>
      <c r="BD133" s="102">
        <f t="shared" si="140"/>
        <v>0</v>
      </c>
      <c r="BE133" s="102">
        <f t="shared" si="140"/>
        <v>0</v>
      </c>
      <c r="BF133" s="102">
        <f t="shared" si="140"/>
        <v>0</v>
      </c>
      <c r="BG133" s="102">
        <f t="shared" si="140"/>
        <v>0</v>
      </c>
      <c r="BH133" s="102">
        <f t="shared" si="140"/>
        <v>0</v>
      </c>
      <c r="BI133" s="102">
        <f t="shared" si="140"/>
        <v>0</v>
      </c>
    </row>
    <row r="134" spans="1:61" s="17" customFormat="1" x14ac:dyDescent="0.25">
      <c r="A134" s="16" t="s">
        <v>16</v>
      </c>
      <c r="B134" s="101"/>
      <c r="C134" s="102">
        <f t="shared" ref="C134:BI134" si="141">SUMIF($A$29:$A$129,"Balance",C29:C129)</f>
        <v>0</v>
      </c>
      <c r="D134" s="102">
        <f t="shared" si="141"/>
        <v>0</v>
      </c>
      <c r="E134" s="102">
        <f t="shared" si="141"/>
        <v>0</v>
      </c>
      <c r="F134" s="102">
        <f t="shared" si="141"/>
        <v>0</v>
      </c>
      <c r="G134" s="102">
        <f t="shared" si="141"/>
        <v>0</v>
      </c>
      <c r="H134" s="102">
        <f t="shared" si="141"/>
        <v>0</v>
      </c>
      <c r="I134" s="102">
        <f t="shared" si="141"/>
        <v>0</v>
      </c>
      <c r="J134" s="102">
        <f t="shared" si="141"/>
        <v>0</v>
      </c>
      <c r="K134" s="102">
        <f t="shared" si="141"/>
        <v>0</v>
      </c>
      <c r="L134" s="102">
        <f t="shared" si="141"/>
        <v>0</v>
      </c>
      <c r="M134" s="102">
        <f t="shared" si="141"/>
        <v>0</v>
      </c>
      <c r="N134" s="102">
        <f t="shared" si="141"/>
        <v>0</v>
      </c>
      <c r="O134" s="102">
        <f t="shared" si="141"/>
        <v>0</v>
      </c>
      <c r="P134" s="102">
        <f t="shared" si="141"/>
        <v>0</v>
      </c>
      <c r="Q134" s="102">
        <f t="shared" si="141"/>
        <v>0</v>
      </c>
      <c r="R134" s="102">
        <f t="shared" si="141"/>
        <v>0</v>
      </c>
      <c r="S134" s="102">
        <f t="shared" si="141"/>
        <v>0</v>
      </c>
      <c r="T134" s="102">
        <f t="shared" si="141"/>
        <v>0</v>
      </c>
      <c r="U134" s="102">
        <f t="shared" si="141"/>
        <v>0</v>
      </c>
      <c r="V134" s="102">
        <f t="shared" si="141"/>
        <v>0</v>
      </c>
      <c r="W134" s="102">
        <f t="shared" si="141"/>
        <v>0</v>
      </c>
      <c r="X134" s="102">
        <f t="shared" si="141"/>
        <v>0</v>
      </c>
      <c r="Y134" s="102">
        <f t="shared" si="141"/>
        <v>0</v>
      </c>
      <c r="Z134" s="102">
        <f t="shared" si="141"/>
        <v>364.12985082635703</v>
      </c>
      <c r="AA134" s="102">
        <f t="shared" si="141"/>
        <v>3375.8373419692539</v>
      </c>
      <c r="AB134" s="102">
        <f t="shared" si="141"/>
        <v>6242.2443128102987</v>
      </c>
      <c r="AC134" s="102">
        <f t="shared" si="141"/>
        <v>17892.798822066066</v>
      </c>
      <c r="AD134" s="102">
        <f t="shared" si="141"/>
        <v>17001.165691120361</v>
      </c>
      <c r="AE134" s="102">
        <f t="shared" si="141"/>
        <v>16062.899980893928</v>
      </c>
      <c r="AF134" s="102">
        <f t="shared" si="141"/>
        <v>15075.562557252953</v>
      </c>
      <c r="AG134" s="102">
        <f t="shared" si="141"/>
        <v>14036.586693338508</v>
      </c>
      <c r="AH134" s="102">
        <f t="shared" si="141"/>
        <v>12943.271394414474</v>
      </c>
      <c r="AI134" s="102">
        <f t="shared" si="141"/>
        <v>11792.774373460546</v>
      </c>
      <c r="AJ134" s="102">
        <f t="shared" si="141"/>
        <v>10582.104659234692</v>
      </c>
      <c r="AK134" s="102">
        <f t="shared" si="141"/>
        <v>9308.1148175731287</v>
      </c>
      <c r="AL134" s="102">
        <f t="shared" si="141"/>
        <v>7967.4927656892851</v>
      </c>
      <c r="AM134" s="102">
        <f t="shared" si="141"/>
        <v>6556.753158174125</v>
      </c>
      <c r="AN134" s="102">
        <f t="shared" si="141"/>
        <v>5072.2283222856331</v>
      </c>
      <c r="AO134" s="102">
        <f t="shared" si="141"/>
        <v>3510.0587189422599</v>
      </c>
      <c r="AP134" s="102">
        <f t="shared" si="141"/>
        <v>2014.7734285074089</v>
      </c>
      <c r="AQ134" s="102">
        <f t="shared" si="141"/>
        <v>742.25539593829603</v>
      </c>
      <c r="AR134" s="102">
        <f t="shared" si="141"/>
        <v>147.11956103298337</v>
      </c>
      <c r="AS134" s="102">
        <f t="shared" si="141"/>
        <v>127.71860548882236</v>
      </c>
      <c r="AT134" s="102">
        <f t="shared" si="141"/>
        <v>107.23690883973595</v>
      </c>
      <c r="AU134" s="102">
        <f t="shared" si="141"/>
        <v>85.614267796600075</v>
      </c>
      <c r="AV134" s="102">
        <f t="shared" si="141"/>
        <v>62.78712541232116</v>
      </c>
      <c r="AW134" s="102">
        <f t="shared" si="141"/>
        <v>38.688384264437204</v>
      </c>
      <c r="AX134" s="102">
        <f t="shared" si="141"/>
        <v>13.247209230952585</v>
      </c>
      <c r="AY134" s="102">
        <f t="shared" si="141"/>
        <v>-2.2266986595316969E-13</v>
      </c>
      <c r="AZ134" s="102">
        <f t="shared" si="141"/>
        <v>0</v>
      </c>
      <c r="BA134" s="102">
        <f t="shared" si="141"/>
        <v>0</v>
      </c>
      <c r="BB134" s="102">
        <f t="shared" si="141"/>
        <v>0</v>
      </c>
      <c r="BC134" s="102">
        <f t="shared" si="141"/>
        <v>0</v>
      </c>
      <c r="BD134" s="102">
        <f t="shared" si="141"/>
        <v>0</v>
      </c>
      <c r="BE134" s="102">
        <f t="shared" si="141"/>
        <v>0</v>
      </c>
      <c r="BF134" s="102">
        <f t="shared" si="141"/>
        <v>0</v>
      </c>
      <c r="BG134" s="102">
        <f t="shared" si="141"/>
        <v>0</v>
      </c>
      <c r="BH134" s="102">
        <f t="shared" si="141"/>
        <v>0</v>
      </c>
      <c r="BI134" s="102">
        <f t="shared" si="141"/>
        <v>0</v>
      </c>
    </row>
    <row r="135" spans="1:61" x14ac:dyDescent="0.25">
      <c r="A135" s="21"/>
      <c r="B135" s="101"/>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row>
    <row r="136" spans="1:61" x14ac:dyDescent="0.25">
      <c r="A136" s="20" t="s">
        <v>229</v>
      </c>
      <c r="B136" s="101"/>
      <c r="C136" s="102"/>
      <c r="D136" s="102"/>
      <c r="E136" s="102"/>
      <c r="F136" s="102"/>
      <c r="G136" s="102"/>
      <c r="H136" s="102"/>
      <c r="I136" s="102"/>
      <c r="J136" s="102"/>
      <c r="K136" s="102"/>
      <c r="L136" s="102"/>
      <c r="M136" s="102"/>
      <c r="N136" s="102"/>
      <c r="O136" s="102"/>
      <c r="P136" s="102"/>
      <c r="Q136" s="102"/>
      <c r="R136" s="102"/>
      <c r="S136" s="102">
        <f t="shared" ref="S136:AC136" si="142">S23+S130</f>
        <v>0</v>
      </c>
      <c r="T136" s="102">
        <f t="shared" si="142"/>
        <v>0</v>
      </c>
      <c r="U136" s="102">
        <f t="shared" si="142"/>
        <v>0</v>
      </c>
      <c r="V136" s="102">
        <f t="shared" si="142"/>
        <v>0</v>
      </c>
      <c r="W136" s="102">
        <f t="shared" si="142"/>
        <v>0</v>
      </c>
      <c r="X136" s="102">
        <f t="shared" si="142"/>
        <v>0</v>
      </c>
      <c r="Y136" s="102">
        <f t="shared" si="142"/>
        <v>0</v>
      </c>
      <c r="Z136" s="102">
        <f t="shared" si="142"/>
        <v>1842.0059999999999</v>
      </c>
      <c r="AA136" s="102">
        <f t="shared" si="142"/>
        <v>3088.8</v>
      </c>
      <c r="AB136" s="102">
        <f t="shared" si="142"/>
        <v>3088.8</v>
      </c>
      <c r="AC136" s="102">
        <f t="shared" si="142"/>
        <v>12230.4</v>
      </c>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row>
    <row r="137" spans="1:61" x14ac:dyDescent="0.25">
      <c r="A137" s="16" t="s">
        <v>223</v>
      </c>
      <c r="B137" s="101">
        <f>SUM(C137:BI137)</f>
        <v>101200.99349078028</v>
      </c>
      <c r="C137" s="102">
        <f t="shared" ref="C137:BI139" si="143">SUM(C24,C131)</f>
        <v>0</v>
      </c>
      <c r="D137" s="102">
        <f t="shared" si="143"/>
        <v>0</v>
      </c>
      <c r="E137" s="102">
        <f t="shared" si="143"/>
        <v>0</v>
      </c>
      <c r="F137" s="102">
        <f t="shared" si="143"/>
        <v>0</v>
      </c>
      <c r="G137" s="102">
        <f t="shared" si="143"/>
        <v>0</v>
      </c>
      <c r="H137" s="102">
        <f t="shared" si="143"/>
        <v>0</v>
      </c>
      <c r="I137" s="102">
        <f t="shared" si="143"/>
        <v>103.49952</v>
      </c>
      <c r="J137" s="102">
        <f t="shared" si="143"/>
        <v>1803.8334299999999</v>
      </c>
      <c r="K137" s="102">
        <f t="shared" si="143"/>
        <v>3012.4389099999999</v>
      </c>
      <c r="L137" s="102">
        <f t="shared" si="143"/>
        <v>1556.9666139547558</v>
      </c>
      <c r="M137" s="102">
        <f t="shared" si="143"/>
        <v>2398.9123353877517</v>
      </c>
      <c r="N137" s="102">
        <f t="shared" si="143"/>
        <v>3515.5424602448948</v>
      </c>
      <c r="O137" s="102">
        <f t="shared" si="143"/>
        <v>4199.9608204877532</v>
      </c>
      <c r="P137" s="102">
        <f t="shared" si="143"/>
        <v>2479.4620885092195</v>
      </c>
      <c r="Q137" s="102">
        <f t="shared" si="143"/>
        <v>5262.5705640340584</v>
      </c>
      <c r="R137" s="102">
        <f t="shared" si="143"/>
        <v>4548.3332345357512</v>
      </c>
      <c r="S137" s="102">
        <f t="shared" si="143"/>
        <v>4341.5894770407849</v>
      </c>
      <c r="T137" s="102">
        <f t="shared" si="143"/>
        <v>4497.0379825563232</v>
      </c>
      <c r="U137" s="102">
        <f t="shared" si="143"/>
        <v>4658.831411320507</v>
      </c>
      <c r="V137" s="102">
        <f t="shared" si="143"/>
        <v>4827.2849648632036</v>
      </c>
      <c r="W137" s="102">
        <f t="shared" si="143"/>
        <v>5002.6615137699118</v>
      </c>
      <c r="X137" s="102">
        <f t="shared" si="143"/>
        <v>4972.0251944367992</v>
      </c>
      <c r="Y137" s="102">
        <f t="shared" si="143"/>
        <v>4217.9454687822345</v>
      </c>
      <c r="Z137" s="102">
        <f t="shared" si="143"/>
        <v>3410.3525918169257</v>
      </c>
      <c r="AA137" s="102">
        <f t="shared" si="143"/>
        <v>2725.8995186426801</v>
      </c>
      <c r="AB137" s="102">
        <f t="shared" si="143"/>
        <v>2934.8331269910859</v>
      </c>
      <c r="AC137" s="102">
        <f t="shared" si="143"/>
        <v>3134.0251169758717</v>
      </c>
      <c r="AD137" s="102">
        <f t="shared" si="143"/>
        <v>1633.3265911678302</v>
      </c>
      <c r="AE137" s="102">
        <f t="shared" si="143"/>
        <v>1706.7384850958115</v>
      </c>
      <c r="AF137" s="102">
        <f t="shared" si="143"/>
        <v>1783.5896682417983</v>
      </c>
      <c r="AG137" s="102">
        <f t="shared" si="143"/>
        <v>1864.0465986767319</v>
      </c>
      <c r="AH137" s="102">
        <f t="shared" si="143"/>
        <v>1948.2839447567233</v>
      </c>
      <c r="AI137" s="102">
        <f t="shared" si="143"/>
        <v>2036.4850533349031</v>
      </c>
      <c r="AJ137" s="102">
        <f t="shared" si="143"/>
        <v>2128.8423915979834</v>
      </c>
      <c r="AK137" s="102">
        <f t="shared" si="143"/>
        <v>2225.5579635795702</v>
      </c>
      <c r="AL137" s="102">
        <f t="shared" si="143"/>
        <v>2187.7518189678931</v>
      </c>
      <c r="AM137" s="102">
        <f t="shared" si="143"/>
        <v>2248.9056934863711</v>
      </c>
      <c r="AN137" s="102">
        <f t="shared" si="143"/>
        <v>1880.2827684219767</v>
      </c>
      <c r="AO137" s="102">
        <f t="shared" si="143"/>
        <v>1650.4504757377999</v>
      </c>
      <c r="AP137" s="102">
        <f t="shared" si="143"/>
        <v>1561.3268615460511</v>
      </c>
      <c r="AQ137" s="102">
        <f t="shared" si="143"/>
        <v>1342.1265286713694</v>
      </c>
      <c r="AR137" s="102">
        <f t="shared" si="143"/>
        <v>668.50389492564011</v>
      </c>
      <c r="AS137" s="102">
        <f t="shared" si="143"/>
        <v>96.731643044465386</v>
      </c>
      <c r="AT137" s="102">
        <f t="shared" si="143"/>
        <v>101.98902886338054</v>
      </c>
      <c r="AU137" s="102">
        <f t="shared" si="143"/>
        <v>107.5322046421594</v>
      </c>
      <c r="AV137" s="102">
        <f t="shared" si="143"/>
        <v>113.37670924012598</v>
      </c>
      <c r="AW137" s="102">
        <f t="shared" si="143"/>
        <v>119.53890144410749</v>
      </c>
      <c r="AX137" s="102">
        <f t="shared" si="143"/>
        <v>126.0360744480964</v>
      </c>
      <c r="AY137" s="102">
        <f t="shared" si="143"/>
        <v>65.563846538964583</v>
      </c>
      <c r="AZ137" s="102">
        <f t="shared" si="143"/>
        <v>0</v>
      </c>
      <c r="BA137" s="102">
        <f t="shared" si="143"/>
        <v>0</v>
      </c>
      <c r="BB137" s="102">
        <f t="shared" si="143"/>
        <v>0</v>
      </c>
      <c r="BC137" s="102">
        <f t="shared" si="143"/>
        <v>0</v>
      </c>
      <c r="BD137" s="102">
        <f t="shared" si="143"/>
        <v>0</v>
      </c>
      <c r="BE137" s="102">
        <f t="shared" si="143"/>
        <v>0</v>
      </c>
      <c r="BF137" s="102">
        <f t="shared" si="143"/>
        <v>0</v>
      </c>
      <c r="BG137" s="102">
        <f t="shared" si="143"/>
        <v>0</v>
      </c>
      <c r="BH137" s="102">
        <f t="shared" si="143"/>
        <v>0</v>
      </c>
      <c r="BI137" s="102">
        <f t="shared" si="143"/>
        <v>0</v>
      </c>
    </row>
    <row r="138" spans="1:61" x14ac:dyDescent="0.25">
      <c r="A138" s="16" t="s">
        <v>224</v>
      </c>
      <c r="B138" s="101">
        <f t="shared" ref="B138:B139" si="144">SUM(C138:BI138)</f>
        <v>42746.032514353879</v>
      </c>
      <c r="C138" s="102">
        <f t="shared" si="143"/>
        <v>0</v>
      </c>
      <c r="D138" s="102">
        <f t="shared" si="143"/>
        <v>0</v>
      </c>
      <c r="E138" s="102">
        <f t="shared" si="143"/>
        <v>0</v>
      </c>
      <c r="F138" s="102">
        <f t="shared" si="143"/>
        <v>0</v>
      </c>
      <c r="G138" s="102">
        <f t="shared" si="143"/>
        <v>0</v>
      </c>
      <c r="H138" s="102">
        <f t="shared" si="143"/>
        <v>0</v>
      </c>
      <c r="I138" s="102">
        <f t="shared" si="143"/>
        <v>119.18186999999999</v>
      </c>
      <c r="J138" s="102">
        <f t="shared" si="143"/>
        <v>616.26769999999999</v>
      </c>
      <c r="K138" s="102">
        <f t="shared" si="143"/>
        <v>2427.0086700000002</v>
      </c>
      <c r="L138" s="102">
        <f t="shared" si="143"/>
        <v>1557.8127779748763</v>
      </c>
      <c r="M138" s="102">
        <f t="shared" si="143"/>
        <v>4001.9115794034478</v>
      </c>
      <c r="N138" s="102">
        <f t="shared" si="143"/>
        <v>2718.7948085334247</v>
      </c>
      <c r="O138" s="102">
        <f t="shared" si="143"/>
        <v>2760.176024347179</v>
      </c>
      <c r="P138" s="102">
        <f t="shared" si="143"/>
        <v>2727.4151558608773</v>
      </c>
      <c r="Q138" s="102">
        <f t="shared" si="143"/>
        <v>2629.0131068557212</v>
      </c>
      <c r="R138" s="102">
        <f t="shared" si="143"/>
        <v>1834.8558537521888</v>
      </c>
      <c r="S138" s="102">
        <f t="shared" si="143"/>
        <v>1681.4353255754918</v>
      </c>
      <c r="T138" s="102">
        <f t="shared" si="143"/>
        <v>1525.4306390935453</v>
      </c>
      <c r="U138" s="102">
        <f t="shared" si="143"/>
        <v>1363.0482721531785</v>
      </c>
      <c r="V138" s="102">
        <f t="shared" si="143"/>
        <v>1193.9954510234372</v>
      </c>
      <c r="W138" s="102">
        <f t="shared" si="143"/>
        <v>1017.9845311617244</v>
      </c>
      <c r="X138" s="102">
        <f t="shared" si="143"/>
        <v>835.1607882503065</v>
      </c>
      <c r="Y138" s="102">
        <f t="shared" si="143"/>
        <v>662.0676734220599</v>
      </c>
      <c r="Z138" s="102">
        <f t="shared" si="143"/>
        <v>613.42903264168649</v>
      </c>
      <c r="AA138" s="102">
        <f t="shared" si="143"/>
        <v>639.15222522970453</v>
      </c>
      <c r="AB138" s="102">
        <f t="shared" si="143"/>
        <v>727.30735229436038</v>
      </c>
      <c r="AC138" s="102">
        <f t="shared" si="143"/>
        <v>1044.7490236970725</v>
      </c>
      <c r="AD138" s="102">
        <f t="shared" si="143"/>
        <v>1261.8918763073848</v>
      </c>
      <c r="AE138" s="102">
        <f t="shared" si="143"/>
        <v>1188.2675890672476</v>
      </c>
      <c r="AF138" s="102">
        <f t="shared" si="143"/>
        <v>1111.1952068099085</v>
      </c>
      <c r="AG138" s="102">
        <f t="shared" si="143"/>
        <v>1030.507926335235</v>
      </c>
      <c r="AH138" s="102">
        <f t="shared" si="143"/>
        <v>946.03065825161707</v>
      </c>
      <c r="AI138" s="102">
        <f t="shared" si="143"/>
        <v>857.57963703631935</v>
      </c>
      <c r="AJ138" s="102">
        <f t="shared" si="143"/>
        <v>764.9620137741797</v>
      </c>
      <c r="AK138" s="102">
        <f t="shared" si="143"/>
        <v>667.97529456503139</v>
      </c>
      <c r="AL138" s="102">
        <f t="shared" si="143"/>
        <v>569.98841927315345</v>
      </c>
      <c r="AM138" s="102">
        <f t="shared" si="143"/>
        <v>471.13362165140234</v>
      </c>
      <c r="AN138" s="102">
        <f t="shared" si="143"/>
        <v>375.59314349334602</v>
      </c>
      <c r="AO138" s="102">
        <f t="shared" si="143"/>
        <v>287.53843350848155</v>
      </c>
      <c r="AP138" s="102">
        <f t="shared" si="143"/>
        <v>201.68496091593551</v>
      </c>
      <c r="AQ138" s="102">
        <f t="shared" si="143"/>
        <v>123.55225445699088</v>
      </c>
      <c r="AR138" s="102">
        <f t="shared" si="143"/>
        <v>56.707112496342738</v>
      </c>
      <c r="AS138" s="102">
        <f t="shared" si="143"/>
        <v>36.694713166647993</v>
      </c>
      <c r="AT138" s="102">
        <f t="shared" si="143"/>
        <v>31.371518587685795</v>
      </c>
      <c r="AU138" s="102">
        <f t="shared" si="143"/>
        <v>25.758986897718692</v>
      </c>
      <c r="AV138" s="102">
        <f t="shared" si="143"/>
        <v>19.841388437116823</v>
      </c>
      <c r="AW138" s="102">
        <f t="shared" si="143"/>
        <v>13.602147600523548</v>
      </c>
      <c r="AX138" s="102">
        <f t="shared" si="143"/>
        <v>7.0237630481581776</v>
      </c>
      <c r="AY138" s="102">
        <f t="shared" si="143"/>
        <v>0.93398740318035611</v>
      </c>
      <c r="AZ138" s="102">
        <f t="shared" si="143"/>
        <v>0</v>
      </c>
      <c r="BA138" s="102">
        <f t="shared" si="143"/>
        <v>0</v>
      </c>
      <c r="BB138" s="102">
        <f t="shared" si="143"/>
        <v>0</v>
      </c>
      <c r="BC138" s="102">
        <f t="shared" si="143"/>
        <v>0</v>
      </c>
      <c r="BD138" s="102">
        <f t="shared" si="143"/>
        <v>0</v>
      </c>
      <c r="BE138" s="102">
        <f t="shared" si="143"/>
        <v>0</v>
      </c>
      <c r="BF138" s="102">
        <f t="shared" si="143"/>
        <v>0</v>
      </c>
      <c r="BG138" s="102">
        <f t="shared" si="143"/>
        <v>0</v>
      </c>
      <c r="BH138" s="102">
        <f t="shared" si="143"/>
        <v>0</v>
      </c>
      <c r="BI138" s="102">
        <f t="shared" si="143"/>
        <v>0</v>
      </c>
    </row>
    <row r="139" spans="1:61" x14ac:dyDescent="0.25">
      <c r="A139" s="16" t="s">
        <v>225</v>
      </c>
      <c r="B139" s="101">
        <f t="shared" si="144"/>
        <v>143947.02600513416</v>
      </c>
      <c r="C139" s="102">
        <f t="shared" si="143"/>
        <v>0</v>
      </c>
      <c r="D139" s="102">
        <f t="shared" si="143"/>
        <v>0</v>
      </c>
      <c r="E139" s="102">
        <f t="shared" si="143"/>
        <v>0</v>
      </c>
      <c r="F139" s="102">
        <f t="shared" si="143"/>
        <v>0</v>
      </c>
      <c r="G139" s="102">
        <f t="shared" si="143"/>
        <v>0</v>
      </c>
      <c r="H139" s="102">
        <f t="shared" si="143"/>
        <v>0</v>
      </c>
      <c r="I139" s="102">
        <f t="shared" si="143"/>
        <v>222.68138999999999</v>
      </c>
      <c r="J139" s="102">
        <f t="shared" si="143"/>
        <v>2420.10113</v>
      </c>
      <c r="K139" s="102">
        <f t="shared" si="143"/>
        <v>5439.44758</v>
      </c>
      <c r="L139" s="102">
        <f t="shared" si="143"/>
        <v>3114.7793919296319</v>
      </c>
      <c r="M139" s="102">
        <f t="shared" si="143"/>
        <v>6400.8239147911991</v>
      </c>
      <c r="N139" s="102">
        <f t="shared" si="143"/>
        <v>6234.3372687783194</v>
      </c>
      <c r="O139" s="102">
        <f t="shared" si="143"/>
        <v>6960.1368448349322</v>
      </c>
      <c r="P139" s="102">
        <f t="shared" si="143"/>
        <v>5206.8772443700964</v>
      </c>
      <c r="Q139" s="102">
        <f t="shared" si="143"/>
        <v>7891.5836708897796</v>
      </c>
      <c r="R139" s="102">
        <f t="shared" si="143"/>
        <v>6383.1890882879397</v>
      </c>
      <c r="S139" s="102">
        <f t="shared" si="143"/>
        <v>6023.0248026162772</v>
      </c>
      <c r="T139" s="102">
        <f t="shared" si="143"/>
        <v>6022.4686216498685</v>
      </c>
      <c r="U139" s="102">
        <f t="shared" si="143"/>
        <v>6021.8796834736859</v>
      </c>
      <c r="V139" s="102">
        <f t="shared" si="143"/>
        <v>6021.2804158866411</v>
      </c>
      <c r="W139" s="102">
        <f t="shared" si="143"/>
        <v>6020.6460449316364</v>
      </c>
      <c r="X139" s="102">
        <f t="shared" si="143"/>
        <v>5807.1859826871059</v>
      </c>
      <c r="Y139" s="102">
        <f t="shared" si="143"/>
        <v>4880.0131422042941</v>
      </c>
      <c r="Z139" s="102">
        <f t="shared" si="143"/>
        <v>4023.781624458612</v>
      </c>
      <c r="AA139" s="102">
        <f t="shared" si="143"/>
        <v>3365.0517438723846</v>
      </c>
      <c r="AB139" s="102">
        <f t="shared" si="143"/>
        <v>3662.1404792854464</v>
      </c>
      <c r="AC139" s="102">
        <f t="shared" si="143"/>
        <v>4178.7741406729438</v>
      </c>
      <c r="AD139" s="102">
        <f t="shared" si="143"/>
        <v>2895.2184674752152</v>
      </c>
      <c r="AE139" s="102">
        <f t="shared" si="143"/>
        <v>2895.0060741630596</v>
      </c>
      <c r="AF139" s="102">
        <f t="shared" si="143"/>
        <v>2894.7848750517069</v>
      </c>
      <c r="AG139" s="102">
        <f t="shared" si="143"/>
        <v>2894.5545250119667</v>
      </c>
      <c r="AH139" s="102">
        <f t="shared" si="143"/>
        <v>2894.3146030083403</v>
      </c>
      <c r="AI139" s="102">
        <f t="shared" si="143"/>
        <v>2894.0646903712222</v>
      </c>
      <c r="AJ139" s="102">
        <f t="shared" si="143"/>
        <v>2893.8044053721633</v>
      </c>
      <c r="AK139" s="102">
        <f t="shared" si="143"/>
        <v>2893.5332581446019</v>
      </c>
      <c r="AL139" s="102">
        <f t="shared" si="143"/>
        <v>2757.7402382410464</v>
      </c>
      <c r="AM139" s="102">
        <f t="shared" si="143"/>
        <v>2720.039315137773</v>
      </c>
      <c r="AN139" s="102">
        <f t="shared" si="143"/>
        <v>2255.8759119153228</v>
      </c>
      <c r="AO139" s="102">
        <f t="shared" si="143"/>
        <v>1937.9889092462813</v>
      </c>
      <c r="AP139" s="102">
        <f t="shared" si="143"/>
        <v>1763.0118224619866</v>
      </c>
      <c r="AQ139" s="102">
        <f t="shared" si="143"/>
        <v>1465.6787831283605</v>
      </c>
      <c r="AR139" s="102">
        <f t="shared" si="143"/>
        <v>725.21100742198291</v>
      </c>
      <c r="AS139" s="102">
        <f t="shared" si="143"/>
        <v>133.42635621111339</v>
      </c>
      <c r="AT139" s="102">
        <f t="shared" si="143"/>
        <v>133.36054745106634</v>
      </c>
      <c r="AU139" s="102">
        <f t="shared" si="143"/>
        <v>133.2911915398781</v>
      </c>
      <c r="AV139" s="102">
        <f t="shared" si="143"/>
        <v>133.21809767724278</v>
      </c>
      <c r="AW139" s="102">
        <f t="shared" si="143"/>
        <v>133.14104904463105</v>
      </c>
      <c r="AX139" s="102">
        <f t="shared" si="143"/>
        <v>133.05983749625457</v>
      </c>
      <c r="AY139" s="102">
        <f t="shared" si="143"/>
        <v>66.497833942144936</v>
      </c>
      <c r="AZ139" s="102">
        <f t="shared" si="143"/>
        <v>0</v>
      </c>
      <c r="BA139" s="102">
        <f t="shared" si="143"/>
        <v>0</v>
      </c>
      <c r="BB139" s="102">
        <f t="shared" si="143"/>
        <v>0</v>
      </c>
      <c r="BC139" s="102">
        <f t="shared" si="143"/>
        <v>0</v>
      </c>
      <c r="BD139" s="102">
        <f t="shared" si="143"/>
        <v>0</v>
      </c>
      <c r="BE139" s="102">
        <f t="shared" si="143"/>
        <v>0</v>
      </c>
      <c r="BF139" s="102">
        <f t="shared" si="143"/>
        <v>0</v>
      </c>
      <c r="BG139" s="102">
        <f t="shared" si="143"/>
        <v>0</v>
      </c>
      <c r="BH139" s="102">
        <f t="shared" si="143"/>
        <v>0</v>
      </c>
      <c r="BI139" s="102">
        <f t="shared" si="143"/>
        <v>0</v>
      </c>
    </row>
    <row r="141" spans="1:61" x14ac:dyDescent="0.25">
      <c r="S141" s="172"/>
      <c r="T141" s="172"/>
      <c r="U141" s="172"/>
      <c r="V141" s="172"/>
      <c r="W141" s="172"/>
      <c r="X141" s="172"/>
    </row>
    <row r="146" spans="19:20" x14ac:dyDescent="0.25">
      <c r="S146" s="172"/>
      <c r="T146" s="172"/>
    </row>
  </sheetData>
  <pageMargins left="0.7" right="0.7" top="0.75" bottom="0.75" header="0.3" footer="0.3"/>
  <pageSetup paperSize="5"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178A4-6668-4A46-8007-7C9AD47D3B9B}">
  <sheetPr>
    <pageSetUpPr fitToPage="1"/>
  </sheetPr>
  <dimension ref="A1:BJ139"/>
  <sheetViews>
    <sheetView zoomScale="80" zoomScaleNormal="80" workbookViewId="0">
      <pane xSplit="2" ySplit="2" topLeftCell="S3" activePane="bottomRight" state="frozen"/>
      <selection pane="topRight" activeCell="X98" sqref="X98"/>
      <selection pane="bottomLeft" activeCell="X98" sqref="X98"/>
      <selection pane="bottomRight" activeCell="B5" sqref="B5"/>
    </sheetView>
  </sheetViews>
  <sheetFormatPr defaultColWidth="9.21875" defaultRowHeight="13.2" outlineLevelRow="1" outlineLevelCol="1" x14ac:dyDescent="0.25"/>
  <cols>
    <col min="1" max="1" width="44.44140625" style="20" customWidth="1"/>
    <col min="2" max="2" width="12.77734375" style="21" customWidth="1"/>
    <col min="3" max="18" width="10.77734375" style="19" hidden="1" customWidth="1" outlineLevel="1"/>
    <col min="19" max="19" width="10.77734375" style="19" customWidth="1" collapsed="1"/>
    <col min="20" max="29" width="10.77734375" style="19" customWidth="1"/>
    <col min="30" max="61" width="10.77734375" style="19" customWidth="1" outlineLevel="1"/>
    <col min="62" max="16384" width="9.21875" style="19"/>
  </cols>
  <sheetData>
    <row r="1" spans="1:62" ht="15.6" x14ac:dyDescent="0.3">
      <c r="A1" s="110" t="s">
        <v>237</v>
      </c>
      <c r="B1" s="18" t="s">
        <v>186</v>
      </c>
      <c r="C1" s="18">
        <v>2000</v>
      </c>
      <c r="D1" s="18">
        <f>C1+1</f>
        <v>2001</v>
      </c>
      <c r="E1" s="18">
        <f t="shared" ref="E1:BI1" si="0">D1+1</f>
        <v>2002</v>
      </c>
      <c r="F1" s="18">
        <f t="shared" si="0"/>
        <v>2003</v>
      </c>
      <c r="G1" s="18">
        <f t="shared" si="0"/>
        <v>2004</v>
      </c>
      <c r="H1" s="18">
        <f>G1+1</f>
        <v>2005</v>
      </c>
      <c r="I1" s="18">
        <f t="shared" si="0"/>
        <v>2006</v>
      </c>
      <c r="J1" s="18">
        <f t="shared" si="0"/>
        <v>2007</v>
      </c>
      <c r="K1" s="18">
        <f t="shared" si="0"/>
        <v>2008</v>
      </c>
      <c r="L1" s="18">
        <f t="shared" si="0"/>
        <v>2009</v>
      </c>
      <c r="M1" s="18">
        <f t="shared" si="0"/>
        <v>2010</v>
      </c>
      <c r="N1" s="18">
        <f t="shared" si="0"/>
        <v>2011</v>
      </c>
      <c r="O1" s="18">
        <f t="shared" si="0"/>
        <v>2012</v>
      </c>
      <c r="P1" s="18">
        <f t="shared" si="0"/>
        <v>2013</v>
      </c>
      <c r="Q1" s="18">
        <f t="shared" si="0"/>
        <v>2014</v>
      </c>
      <c r="R1" s="18">
        <f t="shared" si="0"/>
        <v>2015</v>
      </c>
      <c r="S1" s="18">
        <f t="shared" si="0"/>
        <v>2016</v>
      </c>
      <c r="T1" s="18">
        <f t="shared" si="0"/>
        <v>2017</v>
      </c>
      <c r="U1" s="18">
        <f t="shared" si="0"/>
        <v>2018</v>
      </c>
      <c r="V1" s="18">
        <f t="shared" si="0"/>
        <v>2019</v>
      </c>
      <c r="W1" s="18">
        <f t="shared" si="0"/>
        <v>2020</v>
      </c>
      <c r="X1" s="18">
        <f t="shared" si="0"/>
        <v>2021</v>
      </c>
      <c r="Y1" s="18">
        <f t="shared" si="0"/>
        <v>2022</v>
      </c>
      <c r="Z1" s="18">
        <f t="shared" si="0"/>
        <v>2023</v>
      </c>
      <c r="AA1" s="18">
        <f t="shared" si="0"/>
        <v>2024</v>
      </c>
      <c r="AB1" s="18">
        <f t="shared" si="0"/>
        <v>2025</v>
      </c>
      <c r="AC1" s="18">
        <f t="shared" si="0"/>
        <v>2026</v>
      </c>
      <c r="AD1" s="18">
        <f t="shared" si="0"/>
        <v>2027</v>
      </c>
      <c r="AE1" s="18">
        <f t="shared" si="0"/>
        <v>2028</v>
      </c>
      <c r="AF1" s="18">
        <f t="shared" si="0"/>
        <v>2029</v>
      </c>
      <c r="AG1" s="18">
        <f t="shared" si="0"/>
        <v>2030</v>
      </c>
      <c r="AH1" s="18">
        <f t="shared" si="0"/>
        <v>2031</v>
      </c>
      <c r="AI1" s="18">
        <f t="shared" si="0"/>
        <v>2032</v>
      </c>
      <c r="AJ1" s="18">
        <f t="shared" si="0"/>
        <v>2033</v>
      </c>
      <c r="AK1" s="18">
        <f t="shared" si="0"/>
        <v>2034</v>
      </c>
      <c r="AL1" s="18">
        <f t="shared" si="0"/>
        <v>2035</v>
      </c>
      <c r="AM1" s="18">
        <f t="shared" si="0"/>
        <v>2036</v>
      </c>
      <c r="AN1" s="18">
        <f t="shared" si="0"/>
        <v>2037</v>
      </c>
      <c r="AO1" s="18">
        <f t="shared" si="0"/>
        <v>2038</v>
      </c>
      <c r="AP1" s="18">
        <f t="shared" si="0"/>
        <v>2039</v>
      </c>
      <c r="AQ1" s="18">
        <f t="shared" si="0"/>
        <v>2040</v>
      </c>
      <c r="AR1" s="18">
        <f t="shared" si="0"/>
        <v>2041</v>
      </c>
      <c r="AS1" s="18">
        <f t="shared" si="0"/>
        <v>2042</v>
      </c>
      <c r="AT1" s="18">
        <f t="shared" si="0"/>
        <v>2043</v>
      </c>
      <c r="AU1" s="18">
        <f t="shared" si="0"/>
        <v>2044</v>
      </c>
      <c r="AV1" s="18">
        <f t="shared" si="0"/>
        <v>2045</v>
      </c>
      <c r="AW1" s="18">
        <f t="shared" si="0"/>
        <v>2046</v>
      </c>
      <c r="AX1" s="18">
        <f t="shared" si="0"/>
        <v>2047</v>
      </c>
      <c r="AY1" s="18">
        <f t="shared" si="0"/>
        <v>2048</v>
      </c>
      <c r="AZ1" s="18">
        <f t="shared" si="0"/>
        <v>2049</v>
      </c>
      <c r="BA1" s="18">
        <f t="shared" si="0"/>
        <v>2050</v>
      </c>
      <c r="BB1" s="18">
        <f t="shared" si="0"/>
        <v>2051</v>
      </c>
      <c r="BC1" s="18">
        <f t="shared" si="0"/>
        <v>2052</v>
      </c>
      <c r="BD1" s="18">
        <f t="shared" si="0"/>
        <v>2053</v>
      </c>
      <c r="BE1" s="18">
        <f t="shared" si="0"/>
        <v>2054</v>
      </c>
      <c r="BF1" s="18">
        <f t="shared" si="0"/>
        <v>2055</v>
      </c>
      <c r="BG1" s="18">
        <f t="shared" si="0"/>
        <v>2056</v>
      </c>
      <c r="BH1" s="18">
        <f t="shared" si="0"/>
        <v>2057</v>
      </c>
      <c r="BI1" s="18">
        <f t="shared" si="0"/>
        <v>2058</v>
      </c>
      <c r="BJ1" s="111"/>
    </row>
    <row r="2" spans="1:62" ht="26.4" x14ac:dyDescent="0.25">
      <c r="A2" s="112" t="s">
        <v>207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62" ht="26.4" x14ac:dyDescent="0.25">
      <c r="A3" s="112" t="s">
        <v>208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62" x14ac:dyDescent="0.25">
      <c r="A4" s="113" t="s">
        <v>209</v>
      </c>
      <c r="B4" s="89">
        <f>SUM(C4:BB4)</f>
        <v>4125.12248</v>
      </c>
      <c r="C4" s="90">
        <v>0</v>
      </c>
      <c r="D4" s="90">
        <v>0</v>
      </c>
      <c r="E4" s="90">
        <v>0</v>
      </c>
      <c r="F4" s="90">
        <v>0</v>
      </c>
      <c r="G4" s="90">
        <v>0</v>
      </c>
      <c r="H4" s="90">
        <v>0</v>
      </c>
      <c r="I4" s="90">
        <v>0</v>
      </c>
      <c r="J4" s="90">
        <v>0</v>
      </c>
      <c r="K4" s="90">
        <v>0</v>
      </c>
      <c r="L4" s="90">
        <v>0</v>
      </c>
      <c r="M4" s="90">
        <v>0</v>
      </c>
      <c r="N4" s="90">
        <v>0</v>
      </c>
      <c r="O4" s="90">
        <v>0</v>
      </c>
      <c r="P4" s="90">
        <v>0</v>
      </c>
      <c r="Q4" s="90">
        <v>0</v>
      </c>
      <c r="R4" s="90">
        <v>0</v>
      </c>
      <c r="S4" s="90">
        <v>0</v>
      </c>
      <c r="T4" s="90">
        <v>0</v>
      </c>
      <c r="U4" s="90">
        <v>0</v>
      </c>
      <c r="V4" s="90">
        <v>0</v>
      </c>
      <c r="W4" s="90">
        <v>0</v>
      </c>
      <c r="X4" s="90">
        <v>431.79399999999998</v>
      </c>
      <c r="Y4" s="90">
        <v>3572</v>
      </c>
      <c r="Z4" s="90">
        <v>121.32848</v>
      </c>
      <c r="AA4" s="90">
        <v>0</v>
      </c>
      <c r="AB4" s="90"/>
      <c r="AC4" s="90"/>
      <c r="AD4" s="92"/>
      <c r="AE4" s="92"/>
      <c r="AF4" s="92"/>
      <c r="AG4" s="92"/>
      <c r="AH4" s="92"/>
      <c r="AI4" s="92"/>
      <c r="AJ4" s="92"/>
      <c r="AK4" s="92"/>
      <c r="AL4" s="92"/>
      <c r="AM4" s="92"/>
      <c r="AN4" s="92"/>
      <c r="AO4" s="92"/>
      <c r="AP4" s="92"/>
      <c r="AQ4" s="92"/>
      <c r="AR4" s="91"/>
      <c r="AS4" s="91"/>
      <c r="AT4" s="91"/>
    </row>
    <row r="5" spans="1:62" x14ac:dyDescent="0.25">
      <c r="A5" s="20" t="s">
        <v>210</v>
      </c>
      <c r="B5" s="89"/>
      <c r="C5" s="114"/>
      <c r="D5" s="114"/>
      <c r="E5" s="114"/>
      <c r="F5" s="114"/>
      <c r="G5" s="114"/>
      <c r="H5" s="114"/>
      <c r="I5" s="114"/>
      <c r="J5" s="114"/>
      <c r="K5" s="114"/>
      <c r="L5" s="114"/>
      <c r="M5" s="114"/>
      <c r="N5" s="114"/>
      <c r="O5" s="114"/>
      <c r="P5" s="114"/>
      <c r="Q5" s="114"/>
      <c r="R5" s="115"/>
      <c r="T5" s="115"/>
      <c r="U5" s="115"/>
      <c r="V5" s="116"/>
      <c r="X5" s="19" t="s">
        <v>238</v>
      </c>
      <c r="Y5" s="19" t="s">
        <v>232</v>
      </c>
      <c r="Z5" s="240">
        <v>5.33E-2</v>
      </c>
      <c r="AD5" s="92"/>
      <c r="AE5" s="92"/>
      <c r="AF5" s="92"/>
      <c r="AG5" s="92"/>
      <c r="AH5" s="92"/>
      <c r="AI5" s="92"/>
      <c r="AJ5" s="92"/>
      <c r="AK5" s="92"/>
      <c r="AL5" s="92"/>
      <c r="AM5" s="92"/>
      <c r="AN5" s="92"/>
      <c r="AO5" s="92"/>
      <c r="AP5" s="92"/>
      <c r="AQ5" s="92"/>
      <c r="AR5" s="91"/>
      <c r="AS5" s="91"/>
      <c r="AT5" s="91"/>
    </row>
    <row r="6" spans="1:62" x14ac:dyDescent="0.25">
      <c r="A6" s="20" t="s">
        <v>215</v>
      </c>
      <c r="B6" s="89"/>
      <c r="C6" s="90"/>
      <c r="D6" s="90"/>
      <c r="E6" s="90"/>
      <c r="F6" s="90"/>
      <c r="G6" s="90"/>
      <c r="H6" s="90"/>
      <c r="I6" s="90"/>
      <c r="J6" s="90"/>
      <c r="K6" s="90"/>
      <c r="L6" s="90"/>
      <c r="M6" s="90"/>
      <c r="N6" s="90"/>
      <c r="O6" s="90"/>
      <c r="P6" s="90"/>
      <c r="Q6" s="90"/>
      <c r="R6" s="90"/>
      <c r="T6" s="90"/>
      <c r="U6" s="90"/>
      <c r="X6" s="19">
        <v>25</v>
      </c>
      <c r="Y6" s="19">
        <v>25</v>
      </c>
      <c r="Z6" s="19">
        <v>25</v>
      </c>
      <c r="AD6" s="92"/>
      <c r="AE6" s="92"/>
      <c r="AF6" s="92"/>
      <c r="AG6" s="92"/>
      <c r="AH6" s="92"/>
      <c r="AI6" s="92"/>
      <c r="AJ6" s="92"/>
      <c r="AK6" s="92"/>
      <c r="AL6" s="92"/>
      <c r="AM6" s="92"/>
      <c r="AN6" s="92"/>
      <c r="AO6" s="92"/>
      <c r="AP6" s="92"/>
      <c r="AQ6" s="92"/>
      <c r="AR6" s="91"/>
      <c r="AS6" s="91"/>
      <c r="AT6" s="91"/>
    </row>
    <row r="7" spans="1:62" x14ac:dyDescent="0.25">
      <c r="B7" s="89"/>
      <c r="C7" s="90"/>
      <c r="D7" s="90"/>
      <c r="E7" s="90"/>
      <c r="F7" s="90"/>
      <c r="G7" s="90"/>
      <c r="H7" s="90"/>
      <c r="I7" s="90"/>
      <c r="J7" s="90"/>
      <c r="K7" s="90"/>
      <c r="L7" s="90"/>
      <c r="M7" s="90"/>
      <c r="N7" s="90"/>
      <c r="O7" s="90"/>
      <c r="P7" s="90"/>
      <c r="Q7" s="90"/>
      <c r="R7" s="93"/>
      <c r="S7" s="93"/>
      <c r="T7" s="93"/>
      <c r="U7" s="93"/>
      <c r="V7" s="93"/>
      <c r="W7" s="93"/>
      <c r="X7" s="93"/>
      <c r="Y7" s="93"/>
      <c r="Z7" s="93"/>
      <c r="AA7" s="93"/>
      <c r="AB7" s="93"/>
      <c r="AC7" s="93"/>
      <c r="AD7" s="92"/>
      <c r="AE7" s="92"/>
      <c r="AF7" s="92"/>
      <c r="AG7" s="92"/>
      <c r="AH7" s="92"/>
      <c r="AI7" s="92"/>
      <c r="AJ7" s="92"/>
      <c r="AK7" s="92"/>
      <c r="AL7" s="92"/>
      <c r="AM7" s="92"/>
      <c r="AN7" s="92"/>
      <c r="AO7" s="92"/>
      <c r="AP7" s="92"/>
      <c r="AQ7" s="92"/>
      <c r="AR7" s="91"/>
      <c r="AS7" s="91"/>
      <c r="AT7" s="91"/>
    </row>
    <row r="8" spans="1:62" x14ac:dyDescent="0.25">
      <c r="A8" s="113" t="s">
        <v>216</v>
      </c>
      <c r="B8" s="89">
        <f>SUM(C8:BB8)</f>
        <v>20806.653383813344</v>
      </c>
      <c r="C8" s="90"/>
      <c r="D8" s="90"/>
      <c r="E8" s="90"/>
      <c r="F8" s="90"/>
      <c r="G8" s="90"/>
      <c r="H8" s="90"/>
      <c r="I8" s="90"/>
      <c r="J8" s="90"/>
      <c r="K8" s="90"/>
      <c r="L8" s="90"/>
      <c r="M8" s="90"/>
      <c r="N8" s="90"/>
      <c r="O8" s="90"/>
      <c r="P8" s="90"/>
      <c r="Q8" s="90"/>
      <c r="R8" s="90"/>
      <c r="S8" s="90"/>
      <c r="T8" s="90"/>
      <c r="U8" s="90"/>
      <c r="V8" s="90"/>
      <c r="W8" s="90"/>
      <c r="X8" s="90"/>
      <c r="Y8" s="90"/>
      <c r="Z8" s="90">
        <f>SUM('Tab 5 - Capital'!I38:P38)-SUM('Tab 9 - Fish'!S4:Z4)</f>
        <v>4915.453383813343</v>
      </c>
      <c r="AA8" s="90">
        <f>'Tab 5 - Capital'!Q38</f>
        <v>12480</v>
      </c>
      <c r="AB8" s="90">
        <f>'Tab 5 - Capital'!R38</f>
        <v>3359.2000000000003</v>
      </c>
      <c r="AC8" s="90">
        <f>'Tab 5 - Capital'!S38</f>
        <v>52</v>
      </c>
      <c r="AD8" s="90">
        <f>'Tab 5 - Capital'!T38</f>
        <v>0</v>
      </c>
      <c r="AE8" s="90">
        <f>'Tab 5 - Capital'!U38</f>
        <v>0</v>
      </c>
      <c r="AF8" s="90">
        <f>'Tab 5 - Capital'!V38</f>
        <v>0</v>
      </c>
      <c r="AG8" s="90">
        <f>'Tab 5 - Capital'!W38</f>
        <v>0</v>
      </c>
      <c r="AH8" s="90">
        <f>'Tab 5 - Capital'!X38</f>
        <v>0</v>
      </c>
      <c r="AI8" s="90">
        <f>'Tab 5 - Capital'!Y38</f>
        <v>0</v>
      </c>
      <c r="AJ8" s="90">
        <f>'Tab 5 - Capital'!Z38</f>
        <v>0</v>
      </c>
      <c r="AK8" s="90"/>
      <c r="AL8" s="90"/>
      <c r="AM8" s="90"/>
      <c r="AN8" s="90"/>
      <c r="AO8" s="90"/>
      <c r="AP8" s="90"/>
      <c r="AQ8" s="90"/>
      <c r="AR8" s="91"/>
      <c r="AS8" s="91"/>
      <c r="AT8" s="91"/>
    </row>
    <row r="9" spans="1:62" x14ac:dyDescent="0.25">
      <c r="A9" s="20" t="str">
        <f>A5</f>
        <v>Interest Rate</v>
      </c>
      <c r="B9" s="89"/>
      <c r="C9" s="90"/>
      <c r="D9" s="90"/>
      <c r="E9" s="90"/>
      <c r="F9" s="90"/>
      <c r="G9" s="90"/>
      <c r="H9" s="90"/>
      <c r="I9" s="90"/>
      <c r="J9" s="90"/>
      <c r="K9" s="90"/>
      <c r="L9" s="90"/>
      <c r="M9" s="90"/>
      <c r="N9" s="90"/>
      <c r="O9" s="90"/>
      <c r="P9" s="90"/>
      <c r="Q9" s="90"/>
      <c r="R9" s="94"/>
      <c r="S9" s="94"/>
      <c r="T9" s="94"/>
      <c r="U9" s="94"/>
      <c r="V9" s="94"/>
      <c r="W9" s="94"/>
      <c r="X9" s="94"/>
      <c r="Y9" s="94"/>
      <c r="Z9" s="94">
        <f>'Tab 8 - Shepard'!Z9</f>
        <v>5.4950666666666662E-2</v>
      </c>
      <c r="AA9" s="94">
        <f>'Tab 8 - Shepard'!AA9</f>
        <v>5.1029714285714275E-2</v>
      </c>
      <c r="AB9" s="94">
        <f>'Tab 8 - Shepard'!AB9</f>
        <v>5.1126714285714282E-2</v>
      </c>
      <c r="AC9" s="94">
        <f>'Tab 8 - Shepard'!AC9</f>
        <v>5.1888714285714281E-2</v>
      </c>
      <c r="AD9" s="94">
        <f>'Tab 8 - Shepard'!AD9</f>
        <v>5.3080714285714287E-2</v>
      </c>
      <c r="AE9" s="94">
        <f>'Tab 8 - Shepard'!AE9</f>
        <v>5.4233714285714281E-2</v>
      </c>
      <c r="AF9" s="94">
        <f>'Tab 8 - Shepard'!AF9</f>
        <v>5.5004714285714275E-2</v>
      </c>
      <c r="AG9" s="94">
        <f>'Tab 8 - Shepard'!AG9</f>
        <v>5.5750714285714278E-2</v>
      </c>
      <c r="AH9" s="94">
        <f>'Tab 8 - Shepard'!AH9</f>
        <v>5.6173714285714278E-2</v>
      </c>
      <c r="AI9" s="94">
        <f>'Tab 8 - Shepard'!AI9</f>
        <v>5.6544714285714288E-2</v>
      </c>
      <c r="AJ9" s="91"/>
      <c r="AK9" s="91"/>
      <c r="AL9" s="91"/>
      <c r="AM9" s="91"/>
      <c r="AN9" s="91"/>
      <c r="AO9" s="91"/>
      <c r="AP9" s="91"/>
      <c r="AQ9" s="91"/>
      <c r="AR9" s="91"/>
      <c r="AS9" s="91"/>
      <c r="AT9" s="91"/>
    </row>
    <row r="10" spans="1:62" x14ac:dyDescent="0.25">
      <c r="A10" s="20" t="str">
        <f>A6</f>
        <v>Term (in years)</v>
      </c>
      <c r="B10" s="89"/>
      <c r="C10" s="90"/>
      <c r="D10" s="90"/>
      <c r="E10" s="90"/>
      <c r="F10" s="90"/>
      <c r="G10" s="90"/>
      <c r="H10" s="90"/>
      <c r="I10" s="90"/>
      <c r="J10" s="90"/>
      <c r="K10" s="90"/>
      <c r="L10" s="90"/>
      <c r="M10" s="90"/>
      <c r="N10" s="90"/>
      <c r="O10" s="90"/>
      <c r="P10" s="90"/>
      <c r="Q10" s="90"/>
      <c r="R10" s="93"/>
      <c r="S10" s="93"/>
      <c r="T10" s="93"/>
      <c r="U10" s="93"/>
      <c r="V10" s="93"/>
      <c r="W10" s="93"/>
      <c r="X10" s="93"/>
      <c r="Y10" s="93"/>
      <c r="Z10" s="93">
        <v>25</v>
      </c>
      <c r="AA10" s="93">
        <v>15</v>
      </c>
      <c r="AB10" s="93">
        <v>15</v>
      </c>
      <c r="AC10" s="93">
        <v>15</v>
      </c>
      <c r="AD10" s="93">
        <v>15</v>
      </c>
      <c r="AE10" s="93">
        <v>15</v>
      </c>
      <c r="AF10" s="93">
        <v>15</v>
      </c>
      <c r="AG10" s="93">
        <v>15</v>
      </c>
      <c r="AH10" s="93">
        <v>15</v>
      </c>
      <c r="AI10" s="93">
        <v>15</v>
      </c>
      <c r="AJ10" s="91"/>
      <c r="AK10" s="91"/>
      <c r="AL10" s="91"/>
      <c r="AM10" s="91"/>
      <c r="AN10" s="91"/>
      <c r="AO10" s="91"/>
      <c r="AP10" s="91"/>
      <c r="AQ10" s="91"/>
      <c r="AR10" s="91"/>
      <c r="AS10" s="91"/>
      <c r="AT10" s="91"/>
    </row>
    <row r="11" spans="1:62" x14ac:dyDescent="0.25">
      <c r="B11" s="89"/>
      <c r="C11" s="90"/>
      <c r="D11" s="90"/>
      <c r="E11" s="90"/>
      <c r="F11" s="90"/>
      <c r="G11" s="90"/>
      <c r="H11" s="90"/>
      <c r="I11" s="90"/>
      <c r="J11" s="90"/>
      <c r="K11" s="90"/>
      <c r="L11" s="90"/>
      <c r="M11" s="90"/>
      <c r="N11" s="90"/>
      <c r="O11" s="90"/>
      <c r="P11" s="90"/>
      <c r="Q11" s="90"/>
      <c r="R11" s="93"/>
      <c r="S11" s="93"/>
      <c r="T11" s="93"/>
      <c r="U11" s="93"/>
      <c r="V11" s="93"/>
      <c r="W11" s="93"/>
      <c r="X11" s="93"/>
      <c r="Y11" s="93"/>
      <c r="Z11" s="93"/>
      <c r="AA11" s="93"/>
      <c r="AB11" s="93"/>
      <c r="AC11" s="93"/>
      <c r="AD11" s="91"/>
      <c r="AE11" s="91"/>
      <c r="AF11" s="91"/>
      <c r="AG11" s="91"/>
      <c r="AH11" s="91"/>
      <c r="AI11" s="91"/>
      <c r="AJ11" s="91"/>
      <c r="AK11" s="91"/>
      <c r="AL11" s="91"/>
      <c r="AM11" s="91"/>
      <c r="AN11" s="91"/>
      <c r="AO11" s="91"/>
      <c r="AP11" s="91"/>
      <c r="AQ11" s="91"/>
      <c r="AR11" s="91"/>
      <c r="AS11" s="91"/>
      <c r="AT11" s="91"/>
    </row>
    <row r="12" spans="1:62" x14ac:dyDescent="0.25">
      <c r="B12" s="89"/>
      <c r="C12" s="90"/>
      <c r="D12" s="90"/>
      <c r="E12" s="90"/>
      <c r="F12" s="90"/>
      <c r="G12" s="90"/>
      <c r="H12" s="90"/>
      <c r="I12" s="90"/>
      <c r="J12" s="90"/>
      <c r="K12" s="90"/>
      <c r="L12" s="90"/>
      <c r="M12" s="90"/>
      <c r="N12" s="90"/>
      <c r="O12" s="90"/>
      <c r="P12" s="90"/>
      <c r="Q12" s="90"/>
      <c r="R12" s="91"/>
      <c r="S12" s="93"/>
      <c r="T12" s="93"/>
      <c r="U12" s="93"/>
      <c r="V12" s="93"/>
      <c r="W12" s="93"/>
      <c r="X12" s="93"/>
      <c r="Y12" s="93"/>
      <c r="Z12" s="93"/>
      <c r="AA12" s="93"/>
      <c r="AB12" s="93"/>
      <c r="AC12" s="93"/>
      <c r="AD12" s="91"/>
      <c r="AE12" s="91"/>
      <c r="AF12" s="91"/>
      <c r="AG12" s="91"/>
      <c r="AH12" s="91"/>
      <c r="AI12" s="91"/>
      <c r="AJ12" s="91"/>
      <c r="AK12" s="91"/>
      <c r="AL12" s="91"/>
      <c r="AM12" s="91"/>
      <c r="AN12" s="91"/>
      <c r="AO12" s="91"/>
      <c r="AP12" s="91"/>
      <c r="AQ12" s="91"/>
      <c r="AR12" s="91"/>
      <c r="AS12" s="91"/>
      <c r="AT12" s="91"/>
    </row>
    <row r="13" spans="1:62" s="91" customFormat="1" outlineLevel="1" x14ac:dyDescent="0.25">
      <c r="A13" s="95" t="s">
        <v>217</v>
      </c>
      <c r="B13" s="101">
        <f>SUM(C13:BB13)</f>
        <v>4003.4965034953557</v>
      </c>
      <c r="C13" s="99"/>
      <c r="D13" s="99"/>
      <c r="E13" s="99"/>
      <c r="F13" s="99"/>
      <c r="G13" s="99"/>
      <c r="H13" s="105"/>
      <c r="I13" s="105"/>
      <c r="J13" s="105"/>
      <c r="K13" s="105"/>
      <c r="L13" s="105"/>
      <c r="M13" s="98"/>
      <c r="N13" s="98"/>
      <c r="O13" s="98"/>
      <c r="P13" s="98"/>
      <c r="Q13" s="98"/>
      <c r="R13" s="99"/>
      <c r="S13" s="99"/>
      <c r="T13" s="99"/>
      <c r="U13" s="99"/>
      <c r="V13" s="99"/>
      <c r="W13" s="99"/>
      <c r="X13" s="99">
        <v>1.9417967631999997</v>
      </c>
      <c r="Y13" s="99">
        <v>20.031059206241217</v>
      </c>
      <c r="Z13" s="99">
        <v>90.876356857629276</v>
      </c>
      <c r="AA13" s="99">
        <v>94.881012210548946</v>
      </c>
      <c r="AB13" s="99">
        <v>99.068679649923169</v>
      </c>
      <c r="AC13" s="99">
        <v>103.4479164131956</v>
      </c>
      <c r="AD13" s="99">
        <v>108.02768876896886</v>
      </c>
      <c r="AE13" s="99">
        <v>112.81742306741877</v>
      </c>
      <c r="AF13" s="99">
        <v>117.82695488422559</v>
      </c>
      <c r="AG13" s="99">
        <v>123.0665941325336</v>
      </c>
      <c r="AH13" s="99">
        <v>128.54717524489652</v>
      </c>
      <c r="AI13" s="99">
        <v>134.28000378931748</v>
      </c>
      <c r="AJ13" s="99">
        <v>140.27695517371782</v>
      </c>
      <c r="AK13" s="99">
        <v>146.55046426838086</v>
      </c>
      <c r="AL13" s="99">
        <v>153.11355537573678</v>
      </c>
      <c r="AM13" s="99">
        <v>159.97986658325379</v>
      </c>
      <c r="AN13" s="99">
        <v>167.1637193108306</v>
      </c>
      <c r="AO13" s="99">
        <v>174.68007583117065</v>
      </c>
      <c r="AP13" s="99">
        <v>182.54464741917099</v>
      </c>
      <c r="AQ13" s="99">
        <v>190.77388898576248</v>
      </c>
      <c r="AR13" s="99">
        <v>199.38503317584724</v>
      </c>
      <c r="AS13" s="99">
        <v>208.39614686148803</v>
      </c>
      <c r="AT13" s="99">
        <v>217.82616520323833</v>
      </c>
      <c r="AU13" s="99">
        <v>227.69491273685207</v>
      </c>
      <c r="AV13" s="99">
        <v>238.02318764121665</v>
      </c>
      <c r="AW13" s="99">
        <v>244.95185546928522</v>
      </c>
      <c r="AX13" s="99">
        <v>217.32336847130509</v>
      </c>
      <c r="AY13" s="99">
        <v>0</v>
      </c>
      <c r="AZ13" s="99">
        <v>0</v>
      </c>
      <c r="BA13" s="99">
        <v>0</v>
      </c>
      <c r="BB13" s="91">
        <v>0</v>
      </c>
      <c r="BC13" s="91">
        <v>0</v>
      </c>
      <c r="BD13" s="91">
        <v>0</v>
      </c>
    </row>
    <row r="14" spans="1:62" s="91" customFormat="1" outlineLevel="1" x14ac:dyDescent="0.25">
      <c r="A14" s="95" t="s">
        <v>218</v>
      </c>
      <c r="B14" s="101">
        <f>SUM(C14:BB14)</f>
        <v>2684.5395618881216</v>
      </c>
      <c r="C14" s="99"/>
      <c r="D14" s="99"/>
      <c r="E14" s="99"/>
      <c r="F14" s="99"/>
      <c r="G14" s="99"/>
      <c r="H14" s="105"/>
      <c r="I14" s="105"/>
      <c r="J14" s="105"/>
      <c r="K14" s="105"/>
      <c r="L14" s="105"/>
      <c r="M14" s="98"/>
      <c r="N14" s="98"/>
      <c r="O14" s="98"/>
      <c r="P14" s="98"/>
      <c r="Q14" s="98"/>
      <c r="R14" s="99"/>
      <c r="S14" s="99"/>
      <c r="T14" s="99"/>
      <c r="U14" s="99"/>
      <c r="V14" s="99"/>
      <c r="W14" s="99"/>
      <c r="X14" s="99">
        <v>5.2169634821999997</v>
      </c>
      <c r="Y14" s="99">
        <v>35.497259133386265</v>
      </c>
      <c r="Z14" s="99">
        <v>176.24173430596994</v>
      </c>
      <c r="AA14" s="99">
        <v>172.22141698916008</v>
      </c>
      <c r="AB14" s="99">
        <v>168.01745450838533</v>
      </c>
      <c r="AC14" s="99">
        <v>163.62125487801211</v>
      </c>
      <c r="AD14" s="99">
        <v>159.02381658761135</v>
      </c>
      <c r="AE14" s="99">
        <v>154.21570431049034</v>
      </c>
      <c r="AF14" s="99">
        <v>149.18703185347303</v>
      </c>
      <c r="AG14" s="99">
        <v>143.92746560231609</v>
      </c>
      <c r="AH14" s="99">
        <v>138.42613389926842</v>
      </c>
      <c r="AI14" s="99">
        <v>132.67170747522795</v>
      </c>
      <c r="AJ14" s="99">
        <v>126.65225573196273</v>
      </c>
      <c r="AK14" s="99">
        <v>120.3553226441414</v>
      </c>
      <c r="AL14" s="99">
        <v>113.76783185877999</v>
      </c>
      <c r="AM14" s="99">
        <v>106.87610685664866</v>
      </c>
      <c r="AN14" s="99">
        <v>99.66578825407332</v>
      </c>
      <c r="AO14" s="99">
        <v>92.12185804380772</v>
      </c>
      <c r="AP14" s="99">
        <v>84.228563635334609</v>
      </c>
      <c r="AQ14" s="99">
        <v>75.96940485430784</v>
      </c>
      <c r="AR14" s="99">
        <v>67.327085151681842</v>
      </c>
      <c r="AS14" s="99">
        <v>58.283493487228853</v>
      </c>
      <c r="AT14" s="99">
        <v>48.819637533211896</v>
      </c>
      <c r="AU14" s="99">
        <v>38.915620761624936</v>
      </c>
      <c r="AV14" s="99">
        <v>28.550595039251235</v>
      </c>
      <c r="AW14" s="99">
        <v>17.73471150353306</v>
      </c>
      <c r="AX14" s="99">
        <v>7.0033435070330032</v>
      </c>
      <c r="AY14" s="99">
        <v>0</v>
      </c>
      <c r="AZ14" s="99">
        <v>0</v>
      </c>
      <c r="BA14" s="99">
        <v>0</v>
      </c>
      <c r="BB14" s="91">
        <v>0</v>
      </c>
      <c r="BC14" s="91">
        <v>0</v>
      </c>
      <c r="BD14" s="91">
        <v>0</v>
      </c>
    </row>
    <row r="15" spans="1:62" s="92" customFormat="1" outlineLevel="1" x14ac:dyDescent="0.25">
      <c r="A15" s="100"/>
      <c r="B15" s="96"/>
      <c r="C15" s="96"/>
      <c r="D15" s="96"/>
      <c r="E15" s="96"/>
      <c r="F15" s="96"/>
      <c r="G15" s="96"/>
      <c r="H15" s="97"/>
      <c r="I15" s="97"/>
      <c r="J15" s="97"/>
      <c r="K15" s="97"/>
      <c r="L15" s="97"/>
      <c r="M15" s="98"/>
      <c r="N15" s="98"/>
      <c r="O15" s="98"/>
      <c r="P15" s="98"/>
      <c r="Q15" s="98"/>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62" s="92" customFormat="1" outlineLevel="1" x14ac:dyDescent="0.25">
      <c r="A16" s="95" t="s">
        <v>219</v>
      </c>
      <c r="B16" s="101">
        <f>SUM(C16:BC16)</f>
        <v>121.32848</v>
      </c>
      <c r="C16" s="96"/>
      <c r="D16" s="96"/>
      <c r="E16" s="96"/>
      <c r="F16" s="96"/>
      <c r="G16" s="96"/>
      <c r="H16" s="97"/>
      <c r="I16" s="97"/>
      <c r="J16" s="97"/>
      <c r="K16" s="97"/>
      <c r="L16" s="97"/>
      <c r="M16" s="98"/>
      <c r="N16" s="98"/>
      <c r="O16" s="98"/>
      <c r="P16" s="98"/>
      <c r="Q16" s="98"/>
      <c r="R16" s="96"/>
      <c r="S16" s="96"/>
      <c r="T16" s="96"/>
      <c r="U16" s="96"/>
      <c r="V16" s="96"/>
      <c r="W16" s="96"/>
      <c r="X16" s="99"/>
      <c r="Y16" s="96"/>
      <c r="Z16" s="96">
        <f>Z4</f>
        <v>121.32848</v>
      </c>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row>
    <row r="17" spans="1:61" s="92" customFormat="1" outlineLevel="1" x14ac:dyDescent="0.25">
      <c r="A17" s="16" t="s">
        <v>163</v>
      </c>
      <c r="B17" s="101">
        <f>SUM(C17:BC17)</f>
        <v>121.32847999999998</v>
      </c>
      <c r="C17" s="96"/>
      <c r="D17" s="96"/>
      <c r="E17" s="96"/>
      <c r="F17" s="96"/>
      <c r="G17" s="96"/>
      <c r="H17" s="97"/>
      <c r="I17" s="97"/>
      <c r="J17" s="97"/>
      <c r="K17" s="97"/>
      <c r="L17" s="97"/>
      <c r="M17" s="98"/>
      <c r="N17" s="98"/>
      <c r="O17" s="98"/>
      <c r="P17" s="98"/>
      <c r="Q17" s="98"/>
      <c r="R17" s="96"/>
      <c r="S17" s="96"/>
      <c r="T17" s="96"/>
      <c r="U17" s="96"/>
      <c r="V17" s="96"/>
      <c r="W17" s="96"/>
      <c r="X17" s="99"/>
      <c r="Y17" s="99"/>
      <c r="Z17" s="99">
        <v>1.1865914793697392</v>
      </c>
      <c r="AA17" s="99">
        <v>2.4688937214601743</v>
      </c>
      <c r="AB17" s="99">
        <v>2.602238996131478</v>
      </c>
      <c r="AC17" s="99">
        <v>2.742786698636174</v>
      </c>
      <c r="AD17" s="99">
        <v>2.8909250801102608</v>
      </c>
      <c r="AE17" s="99">
        <v>3.0470648110827829</v>
      </c>
      <c r="AF17" s="99">
        <v>3.2116371351728699</v>
      </c>
      <c r="AG17" s="99">
        <v>3.3850986167259127</v>
      </c>
      <c r="AH17" s="99">
        <v>3.5679285032379133</v>
      </c>
      <c r="AI17" s="99">
        <v>3.7606332092340873</v>
      </c>
      <c r="AJ17" s="99">
        <v>3.96374578875374</v>
      </c>
      <c r="AK17" s="99">
        <v>4.1778285729259137</v>
      </c>
      <c r="AL17" s="99">
        <v>4.4034739612420868</v>
      </c>
      <c r="AM17" s="99">
        <v>4.6413067953742608</v>
      </c>
      <c r="AN17" s="99">
        <v>4.8919846229325215</v>
      </c>
      <c r="AO17" s="99">
        <v>5.1562016538285222</v>
      </c>
      <c r="AP17" s="99">
        <v>5.4346895515481748</v>
      </c>
      <c r="AQ17" s="99">
        <v>5.7282182244243485</v>
      </c>
      <c r="AR17" s="99">
        <v>6.0376005732730444</v>
      </c>
      <c r="AS17" s="99">
        <v>6.3636927551509572</v>
      </c>
      <c r="AT17" s="99">
        <v>6.7073973484462606</v>
      </c>
      <c r="AU17" s="99">
        <v>7.069665199181566</v>
      </c>
      <c r="AV17" s="99">
        <v>7.4514993773773908</v>
      </c>
      <c r="AW17" s="99">
        <v>7.8539564958399994</v>
      </c>
      <c r="AX17" s="96">
        <v>8.2781504027673058</v>
      </c>
      <c r="AY17" s="96">
        <v>4.3052704257725214</v>
      </c>
      <c r="AZ17" s="96"/>
      <c r="BA17" s="96"/>
      <c r="BB17" s="96"/>
      <c r="BC17" s="96"/>
      <c r="BD17" s="96"/>
      <c r="BE17" s="96"/>
      <c r="BF17" s="96"/>
      <c r="BG17" s="96"/>
      <c r="BH17" s="96"/>
      <c r="BI17" s="96"/>
    </row>
    <row r="18" spans="1:61" s="92" customFormat="1" outlineLevel="1" x14ac:dyDescent="0.25">
      <c r="A18" s="16" t="s">
        <v>164</v>
      </c>
      <c r="B18" s="101">
        <f>SUM(C18:BC18)</f>
        <v>99.671303855032022</v>
      </c>
      <c r="C18" s="96"/>
      <c r="D18" s="96"/>
      <c r="E18" s="96"/>
      <c r="F18" s="96"/>
      <c r="G18" s="96"/>
      <c r="H18" s="97"/>
      <c r="I18" s="97"/>
      <c r="J18" s="97"/>
      <c r="K18" s="97"/>
      <c r="L18" s="97"/>
      <c r="M18" s="98"/>
      <c r="N18" s="98"/>
      <c r="O18" s="98"/>
      <c r="P18" s="98"/>
      <c r="Q18" s="98"/>
      <c r="R18" s="96"/>
      <c r="S18" s="96"/>
      <c r="T18" s="96"/>
      <c r="U18" s="96"/>
      <c r="V18" s="96"/>
      <c r="W18" s="96"/>
      <c r="X18" s="99"/>
      <c r="Y18" s="99"/>
      <c r="Z18" s="99">
        <v>5.1261696899377398</v>
      </c>
      <c r="AA18" s="99">
        <v>6.3322014206518258</v>
      </c>
      <c r="AB18" s="99">
        <v>6.196755053216001</v>
      </c>
      <c r="AC18" s="99">
        <v>6.0539933697088699</v>
      </c>
      <c r="AD18" s="99">
        <v>5.9035209975401743</v>
      </c>
      <c r="AE18" s="99">
        <v>5.7449214635144346</v>
      </c>
      <c r="AF18" s="99">
        <v>5.5777561388006953</v>
      </c>
      <c r="AG18" s="99">
        <v>5.4015621288720004</v>
      </c>
      <c r="AH18" s="99">
        <v>5.2158517459902605</v>
      </c>
      <c r="AI18" s="99">
        <v>5.0201111904184348</v>
      </c>
      <c r="AJ18" s="99">
        <v>4.8137987041175654</v>
      </c>
      <c r="AK18" s="99">
        <v>4.5963429882013909</v>
      </c>
      <c r="AL18" s="99">
        <v>4.367142675421217</v>
      </c>
      <c r="AM18" s="99">
        <v>4.125563165075131</v>
      </c>
      <c r="AN18" s="99">
        <v>3.8709358317353049</v>
      </c>
      <c r="AO18" s="99">
        <v>3.6025561789450435</v>
      </c>
      <c r="AP18" s="99">
        <v>3.3196812016431307</v>
      </c>
      <c r="AQ18" s="99">
        <v>3.0215278036184348</v>
      </c>
      <c r="AR18" s="99">
        <v>2.7072714787220873</v>
      </c>
      <c r="AS18" s="99">
        <v>2.3760418269888697</v>
      </c>
      <c r="AT18" s="99">
        <v>2.0269225546372178</v>
      </c>
      <c r="AU18" s="99">
        <v>1.658947253948174</v>
      </c>
      <c r="AV18" s="99">
        <v>1.2710975569624348</v>
      </c>
      <c r="AW18" s="99">
        <v>0.8622999703895653</v>
      </c>
      <c r="AX18" s="96">
        <v>0.4314229742747826</v>
      </c>
      <c r="AY18" s="96">
        <v>4.6908491701217393E-2</v>
      </c>
      <c r="AZ18" s="96"/>
      <c r="BA18" s="96"/>
      <c r="BB18" s="96"/>
      <c r="BC18" s="96"/>
      <c r="BD18" s="96"/>
      <c r="BE18" s="96"/>
      <c r="BF18" s="96"/>
      <c r="BG18" s="96"/>
      <c r="BH18" s="96"/>
      <c r="BI18" s="96"/>
    </row>
    <row r="19" spans="1:61" s="92" customFormat="1" outlineLevel="1" x14ac:dyDescent="0.25">
      <c r="A19" s="16" t="s">
        <v>220</v>
      </c>
      <c r="B19" s="101">
        <f>SUM(C19:BC19)</f>
        <v>220.99978385503198</v>
      </c>
      <c r="C19" s="96"/>
      <c r="D19" s="96"/>
      <c r="E19" s="96"/>
      <c r="F19" s="96"/>
      <c r="G19" s="96"/>
      <c r="H19" s="97"/>
      <c r="I19" s="97"/>
      <c r="J19" s="97"/>
      <c r="K19" s="97"/>
      <c r="L19" s="97"/>
      <c r="M19" s="98"/>
      <c r="N19" s="98"/>
      <c r="O19" s="98"/>
      <c r="P19" s="98"/>
      <c r="Q19" s="98"/>
      <c r="R19" s="96"/>
      <c r="S19" s="96"/>
      <c r="T19" s="96"/>
      <c r="U19" s="96"/>
      <c r="V19" s="96"/>
      <c r="W19" s="96"/>
      <c r="X19" s="99"/>
      <c r="Y19" s="99"/>
      <c r="Z19" s="99">
        <f t="shared" ref="Z19:AX19" si="1">Z17+Z18</f>
        <v>6.3127611693074792</v>
      </c>
      <c r="AA19" s="99">
        <f t="shared" si="1"/>
        <v>8.8010951421120005</v>
      </c>
      <c r="AB19" s="99">
        <f t="shared" si="1"/>
        <v>8.7989940493474794</v>
      </c>
      <c r="AC19" s="99">
        <f t="shared" si="1"/>
        <v>8.7967800683450434</v>
      </c>
      <c r="AD19" s="99">
        <f t="shared" si="1"/>
        <v>8.7944460776504343</v>
      </c>
      <c r="AE19" s="99">
        <f t="shared" si="1"/>
        <v>8.7919862745972175</v>
      </c>
      <c r="AF19" s="99">
        <f t="shared" si="1"/>
        <v>8.7893932739735661</v>
      </c>
      <c r="AG19" s="99">
        <f t="shared" si="1"/>
        <v>8.7866607455979135</v>
      </c>
      <c r="AH19" s="99">
        <f t="shared" si="1"/>
        <v>8.7837802492281742</v>
      </c>
      <c r="AI19" s="99">
        <f t="shared" si="1"/>
        <v>8.780744399652523</v>
      </c>
      <c r="AJ19" s="99">
        <f t="shared" si="1"/>
        <v>8.7775444928713053</v>
      </c>
      <c r="AK19" s="99">
        <f t="shared" si="1"/>
        <v>8.7741715611273037</v>
      </c>
      <c r="AL19" s="99">
        <f t="shared" si="1"/>
        <v>8.7706166366633038</v>
      </c>
      <c r="AM19" s="99">
        <f t="shared" si="1"/>
        <v>8.7668699604493909</v>
      </c>
      <c r="AN19" s="99">
        <f t="shared" si="1"/>
        <v>8.7629204546678263</v>
      </c>
      <c r="AO19" s="99">
        <f t="shared" si="1"/>
        <v>8.7587578327735649</v>
      </c>
      <c r="AP19" s="99">
        <f t="shared" si="1"/>
        <v>8.7543707531913064</v>
      </c>
      <c r="AQ19" s="99">
        <f t="shared" si="1"/>
        <v>8.7497460280427823</v>
      </c>
      <c r="AR19" s="99">
        <f t="shared" si="1"/>
        <v>8.7448720519951308</v>
      </c>
      <c r="AS19" s="99">
        <f t="shared" si="1"/>
        <v>8.7397345821398265</v>
      </c>
      <c r="AT19" s="99">
        <f t="shared" si="1"/>
        <v>8.7343199030834775</v>
      </c>
      <c r="AU19" s="99">
        <f t="shared" si="1"/>
        <v>8.72861245312974</v>
      </c>
      <c r="AV19" s="99">
        <f t="shared" si="1"/>
        <v>8.7225969343398262</v>
      </c>
      <c r="AW19" s="99">
        <f t="shared" si="1"/>
        <v>8.7162564662295647</v>
      </c>
      <c r="AX19" s="99">
        <f t="shared" si="1"/>
        <v>8.7095733770420889</v>
      </c>
      <c r="AY19" s="99">
        <f t="shared" ref="AY19" si="2">AY17+AY18</f>
        <v>4.3521789174737391</v>
      </c>
      <c r="AZ19" s="96"/>
      <c r="BA19" s="96"/>
      <c r="BB19" s="96"/>
      <c r="BC19" s="96"/>
      <c r="BD19" s="96"/>
      <c r="BE19" s="96"/>
      <c r="BF19" s="96"/>
      <c r="BG19" s="96"/>
      <c r="BH19" s="96"/>
      <c r="BI19" s="96"/>
    </row>
    <row r="20" spans="1:61" s="92" customFormat="1" outlineLevel="1" x14ac:dyDescent="0.25">
      <c r="A20" s="16" t="s">
        <v>16</v>
      </c>
      <c r="B20" s="101"/>
      <c r="C20" s="96"/>
      <c r="D20" s="96"/>
      <c r="E20" s="96"/>
      <c r="F20" s="96"/>
      <c r="G20" s="96"/>
      <c r="H20" s="97"/>
      <c r="I20" s="97"/>
      <c r="J20" s="97"/>
      <c r="K20" s="97"/>
      <c r="L20" s="97"/>
      <c r="M20" s="98"/>
      <c r="N20" s="98"/>
      <c r="O20" s="98"/>
      <c r="P20" s="98"/>
      <c r="Q20" s="98"/>
      <c r="R20" s="96"/>
      <c r="S20" s="96"/>
      <c r="T20" s="96"/>
      <c r="U20" s="96"/>
      <c r="V20" s="96"/>
      <c r="W20" s="96"/>
      <c r="X20" s="99"/>
      <c r="Y20" s="99"/>
      <c r="Z20" s="99">
        <f>Z16-Z17</f>
        <v>120.14188852063026</v>
      </c>
      <c r="AA20" s="99">
        <f t="shared" ref="AA20:AY20" si="3">Z20-AA17</f>
        <v>117.67299479917008</v>
      </c>
      <c r="AB20" s="99">
        <f t="shared" si="3"/>
        <v>115.07075580303861</v>
      </c>
      <c r="AC20" s="99">
        <f t="shared" si="3"/>
        <v>112.32796910440243</v>
      </c>
      <c r="AD20" s="99">
        <f t="shared" si="3"/>
        <v>109.43704402429216</v>
      </c>
      <c r="AE20" s="99">
        <f t="shared" si="3"/>
        <v>106.38997921320939</v>
      </c>
      <c r="AF20" s="99">
        <f t="shared" si="3"/>
        <v>103.17834207803652</v>
      </c>
      <c r="AG20" s="99">
        <f t="shared" si="3"/>
        <v>99.79324346131061</v>
      </c>
      <c r="AH20" s="99">
        <f t="shared" si="3"/>
        <v>96.225314958072701</v>
      </c>
      <c r="AI20" s="99">
        <f t="shared" si="3"/>
        <v>92.464681748838615</v>
      </c>
      <c r="AJ20" s="99">
        <f t="shared" si="3"/>
        <v>88.500935960084874</v>
      </c>
      <c r="AK20" s="99">
        <f t="shared" si="3"/>
        <v>84.323107387158956</v>
      </c>
      <c r="AL20" s="99">
        <f t="shared" si="3"/>
        <v>79.919633425916871</v>
      </c>
      <c r="AM20" s="99">
        <f t="shared" si="3"/>
        <v>75.278326630542608</v>
      </c>
      <c r="AN20" s="99">
        <f t="shared" si="3"/>
        <v>70.386342007610082</v>
      </c>
      <c r="AO20" s="99">
        <f t="shared" si="3"/>
        <v>65.230140353781564</v>
      </c>
      <c r="AP20" s="99">
        <f t="shared" si="3"/>
        <v>59.79545080223339</v>
      </c>
      <c r="AQ20" s="99">
        <f t="shared" si="3"/>
        <v>54.067232577809044</v>
      </c>
      <c r="AR20" s="99">
        <f t="shared" si="3"/>
        <v>48.029632004535998</v>
      </c>
      <c r="AS20" s="99">
        <f t="shared" si="3"/>
        <v>41.66593924938504</v>
      </c>
      <c r="AT20" s="99">
        <f t="shared" si="3"/>
        <v>34.958541900938783</v>
      </c>
      <c r="AU20" s="99">
        <f t="shared" si="3"/>
        <v>27.888876701757219</v>
      </c>
      <c r="AV20" s="99">
        <f t="shared" si="3"/>
        <v>20.437377324379828</v>
      </c>
      <c r="AW20" s="99">
        <f t="shared" si="3"/>
        <v>12.583420828539829</v>
      </c>
      <c r="AX20" s="99">
        <f t="shared" si="3"/>
        <v>4.3052704257725232</v>
      </c>
      <c r="AY20" s="99">
        <f t="shared" si="3"/>
        <v>0</v>
      </c>
      <c r="AZ20" s="96"/>
      <c r="BA20" s="96"/>
      <c r="BB20" s="96"/>
      <c r="BC20" s="96"/>
      <c r="BD20" s="96"/>
      <c r="BE20" s="96"/>
      <c r="BF20" s="96"/>
      <c r="BG20" s="96"/>
      <c r="BH20" s="96"/>
      <c r="BI20" s="96"/>
    </row>
    <row r="21" spans="1:61" s="92" customFormat="1" outlineLevel="1" x14ac:dyDescent="0.25">
      <c r="A21" s="100"/>
      <c r="B21" s="101"/>
      <c r="C21" s="96"/>
      <c r="D21" s="96"/>
      <c r="E21" s="96"/>
      <c r="F21" s="96"/>
      <c r="G21" s="96"/>
      <c r="H21" s="97"/>
      <c r="I21" s="97"/>
      <c r="J21" s="97"/>
      <c r="K21" s="97"/>
      <c r="L21" s="97"/>
      <c r="M21" s="98"/>
      <c r="N21" s="98"/>
      <c r="O21" s="98"/>
      <c r="P21" s="98"/>
      <c r="Q21" s="98"/>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row>
    <row r="22" spans="1:61" x14ac:dyDescent="0.25">
      <c r="A22" s="21" t="s">
        <v>221</v>
      </c>
      <c r="B22" s="101">
        <f>SUM(C22:BB22)</f>
        <v>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row>
    <row r="23" spans="1:61" x14ac:dyDescent="0.25">
      <c r="A23" s="20" t="s">
        <v>222</v>
      </c>
      <c r="B23" s="101">
        <f>SUM(C23:BB23)</f>
        <v>4125.12248</v>
      </c>
      <c r="C23" s="102">
        <f t="shared" ref="C23:AC23" si="4">C4</f>
        <v>0</v>
      </c>
      <c r="D23" s="102">
        <f t="shared" si="4"/>
        <v>0</v>
      </c>
      <c r="E23" s="102">
        <f t="shared" si="4"/>
        <v>0</v>
      </c>
      <c r="F23" s="102">
        <f t="shared" si="4"/>
        <v>0</v>
      </c>
      <c r="G23" s="102">
        <f t="shared" si="4"/>
        <v>0</v>
      </c>
      <c r="H23" s="102">
        <f t="shared" si="4"/>
        <v>0</v>
      </c>
      <c r="I23" s="102">
        <f t="shared" si="4"/>
        <v>0</v>
      </c>
      <c r="J23" s="102">
        <f t="shared" si="4"/>
        <v>0</v>
      </c>
      <c r="K23" s="102">
        <f t="shared" si="4"/>
        <v>0</v>
      </c>
      <c r="L23" s="102">
        <f t="shared" si="4"/>
        <v>0</v>
      </c>
      <c r="M23" s="102">
        <f t="shared" si="4"/>
        <v>0</v>
      </c>
      <c r="N23" s="102">
        <f t="shared" si="4"/>
        <v>0</v>
      </c>
      <c r="O23" s="102">
        <f t="shared" si="4"/>
        <v>0</v>
      </c>
      <c r="P23" s="102">
        <f t="shared" si="4"/>
        <v>0</v>
      </c>
      <c r="Q23" s="102">
        <f t="shared" si="4"/>
        <v>0</v>
      </c>
      <c r="R23" s="102">
        <f t="shared" si="4"/>
        <v>0</v>
      </c>
      <c r="S23" s="102">
        <f t="shared" si="4"/>
        <v>0</v>
      </c>
      <c r="T23" s="102">
        <f t="shared" si="4"/>
        <v>0</v>
      </c>
      <c r="U23" s="102">
        <f t="shared" si="4"/>
        <v>0</v>
      </c>
      <c r="V23" s="102">
        <f t="shared" si="4"/>
        <v>0</v>
      </c>
      <c r="W23" s="102">
        <f t="shared" si="4"/>
        <v>0</v>
      </c>
      <c r="X23" s="102">
        <f t="shared" si="4"/>
        <v>431.79399999999998</v>
      </c>
      <c r="Y23" s="102">
        <f t="shared" si="4"/>
        <v>3572</v>
      </c>
      <c r="Z23" s="102">
        <f t="shared" si="4"/>
        <v>121.32848</v>
      </c>
      <c r="AA23" s="102">
        <f t="shared" si="4"/>
        <v>0</v>
      </c>
      <c r="AB23" s="102">
        <f t="shared" si="4"/>
        <v>0</v>
      </c>
      <c r="AC23" s="102">
        <f t="shared" si="4"/>
        <v>0</v>
      </c>
      <c r="AD23" s="102">
        <f t="shared" ref="AD23:BD23" si="5">+AD4</f>
        <v>0</v>
      </c>
      <c r="AE23" s="102">
        <f t="shared" si="5"/>
        <v>0</v>
      </c>
      <c r="AF23" s="102">
        <f t="shared" si="5"/>
        <v>0</v>
      </c>
      <c r="AG23" s="102">
        <f t="shared" si="5"/>
        <v>0</v>
      </c>
      <c r="AH23" s="102">
        <f t="shared" si="5"/>
        <v>0</v>
      </c>
      <c r="AI23" s="102">
        <f t="shared" si="5"/>
        <v>0</v>
      </c>
      <c r="AJ23" s="102">
        <f t="shared" si="5"/>
        <v>0</v>
      </c>
      <c r="AK23" s="102">
        <f t="shared" si="5"/>
        <v>0</v>
      </c>
      <c r="AL23" s="102">
        <f t="shared" si="5"/>
        <v>0</v>
      </c>
      <c r="AM23" s="102">
        <f t="shared" si="5"/>
        <v>0</v>
      </c>
      <c r="AN23" s="102">
        <f t="shared" si="5"/>
        <v>0</v>
      </c>
      <c r="AO23" s="102">
        <f t="shared" si="5"/>
        <v>0</v>
      </c>
      <c r="AP23" s="102">
        <f t="shared" si="5"/>
        <v>0</v>
      </c>
      <c r="AQ23" s="102">
        <f t="shared" si="5"/>
        <v>0</v>
      </c>
      <c r="AR23" s="102">
        <f t="shared" si="5"/>
        <v>0</v>
      </c>
      <c r="AS23" s="102">
        <f t="shared" si="5"/>
        <v>0</v>
      </c>
      <c r="AT23" s="102">
        <f t="shared" si="5"/>
        <v>0</v>
      </c>
      <c r="AU23" s="102">
        <f t="shared" si="5"/>
        <v>0</v>
      </c>
      <c r="AV23" s="102">
        <f t="shared" si="5"/>
        <v>0</v>
      </c>
      <c r="AW23" s="102">
        <f t="shared" si="5"/>
        <v>0</v>
      </c>
      <c r="AX23" s="102">
        <f t="shared" si="5"/>
        <v>0</v>
      </c>
      <c r="AY23" s="102">
        <f t="shared" si="5"/>
        <v>0</v>
      </c>
      <c r="AZ23" s="102">
        <f t="shared" si="5"/>
        <v>0</v>
      </c>
      <c r="BA23" s="102">
        <f t="shared" si="5"/>
        <v>0</v>
      </c>
      <c r="BB23" s="102">
        <f t="shared" si="5"/>
        <v>0</v>
      </c>
      <c r="BC23" s="102">
        <f t="shared" si="5"/>
        <v>0</v>
      </c>
      <c r="BD23" s="102">
        <f t="shared" si="5"/>
        <v>0</v>
      </c>
      <c r="BE23" s="102"/>
      <c r="BF23" s="102"/>
      <c r="BG23" s="102"/>
      <c r="BH23" s="102"/>
      <c r="BI23" s="102"/>
    </row>
    <row r="24" spans="1:61" s="17" customFormat="1" x14ac:dyDescent="0.25">
      <c r="A24" s="16" t="s">
        <v>223</v>
      </c>
      <c r="B24" s="101">
        <f>SUM(C24:BB24)</f>
        <v>4124.8249834953558</v>
      </c>
      <c r="C24" s="102">
        <f t="shared" ref="C24:BD25" si="6">+C17+C13</f>
        <v>0</v>
      </c>
      <c r="D24" s="102">
        <f t="shared" si="6"/>
        <v>0</v>
      </c>
      <c r="E24" s="102">
        <f t="shared" si="6"/>
        <v>0</v>
      </c>
      <c r="F24" s="102">
        <f t="shared" si="6"/>
        <v>0</v>
      </c>
      <c r="G24" s="102">
        <f t="shared" si="6"/>
        <v>0</v>
      </c>
      <c r="H24" s="102">
        <f t="shared" si="6"/>
        <v>0</v>
      </c>
      <c r="I24" s="102">
        <f>+I17+I13</f>
        <v>0</v>
      </c>
      <c r="J24" s="102">
        <f t="shared" si="6"/>
        <v>0</v>
      </c>
      <c r="K24" s="102">
        <f t="shared" si="6"/>
        <v>0</v>
      </c>
      <c r="L24" s="102">
        <f t="shared" si="6"/>
        <v>0</v>
      </c>
      <c r="M24" s="102">
        <f t="shared" si="6"/>
        <v>0</v>
      </c>
      <c r="N24" s="102">
        <f t="shared" si="6"/>
        <v>0</v>
      </c>
      <c r="O24" s="102">
        <f t="shared" si="6"/>
        <v>0</v>
      </c>
      <c r="P24" s="102">
        <f t="shared" si="6"/>
        <v>0</v>
      </c>
      <c r="Q24" s="102">
        <f t="shared" si="6"/>
        <v>0</v>
      </c>
      <c r="R24" s="102">
        <f t="shared" si="6"/>
        <v>0</v>
      </c>
      <c r="S24" s="102">
        <f t="shared" si="6"/>
        <v>0</v>
      </c>
      <c r="T24" s="102">
        <f t="shared" si="6"/>
        <v>0</v>
      </c>
      <c r="U24" s="102">
        <f t="shared" si="6"/>
        <v>0</v>
      </c>
      <c r="V24" s="102">
        <f t="shared" si="6"/>
        <v>0</v>
      </c>
      <c r="W24" s="102">
        <f t="shared" si="6"/>
        <v>0</v>
      </c>
      <c r="X24" s="102">
        <f t="shared" si="6"/>
        <v>1.9417967631999997</v>
      </c>
      <c r="Y24" s="102">
        <f t="shared" si="6"/>
        <v>20.031059206241217</v>
      </c>
      <c r="Z24" s="102">
        <f t="shared" si="6"/>
        <v>92.062948336999014</v>
      </c>
      <c r="AA24" s="102">
        <f t="shared" si="6"/>
        <v>97.349905932009122</v>
      </c>
      <c r="AB24" s="102">
        <f t="shared" si="6"/>
        <v>101.67091864605464</v>
      </c>
      <c r="AC24" s="102">
        <f t="shared" si="6"/>
        <v>106.19070311183178</v>
      </c>
      <c r="AD24" s="102">
        <f t="shared" si="6"/>
        <v>110.91861384907912</v>
      </c>
      <c r="AE24" s="102">
        <f t="shared" si="6"/>
        <v>115.86448787850155</v>
      </c>
      <c r="AF24" s="102">
        <f t="shared" si="6"/>
        <v>121.03859201939845</v>
      </c>
      <c r="AG24" s="102">
        <f t="shared" si="6"/>
        <v>126.45169274925951</v>
      </c>
      <c r="AH24" s="102">
        <f t="shared" si="6"/>
        <v>132.11510374813443</v>
      </c>
      <c r="AI24" s="102">
        <f t="shared" si="6"/>
        <v>138.04063699855158</v>
      </c>
      <c r="AJ24" s="102">
        <f t="shared" si="6"/>
        <v>144.24070096247155</v>
      </c>
      <c r="AK24" s="102">
        <f t="shared" si="6"/>
        <v>150.72829284130677</v>
      </c>
      <c r="AL24" s="102">
        <f t="shared" si="6"/>
        <v>157.51702933697888</v>
      </c>
      <c r="AM24" s="102">
        <f t="shared" si="6"/>
        <v>164.62117337862804</v>
      </c>
      <c r="AN24" s="102">
        <f t="shared" si="6"/>
        <v>172.05570393376311</v>
      </c>
      <c r="AO24" s="102">
        <f t="shared" si="6"/>
        <v>179.83627748499919</v>
      </c>
      <c r="AP24" s="102">
        <f t="shared" si="6"/>
        <v>187.97933697071915</v>
      </c>
      <c r="AQ24" s="102">
        <f t="shared" si="6"/>
        <v>196.50210721018684</v>
      </c>
      <c r="AR24" s="102">
        <f t="shared" si="6"/>
        <v>205.42263374912028</v>
      </c>
      <c r="AS24" s="102">
        <f t="shared" si="6"/>
        <v>214.759839616639</v>
      </c>
      <c r="AT24" s="102">
        <f t="shared" si="6"/>
        <v>224.53356255168458</v>
      </c>
      <c r="AU24" s="102">
        <f t="shared" si="6"/>
        <v>234.76457793603365</v>
      </c>
      <c r="AV24" s="102">
        <f t="shared" si="6"/>
        <v>245.47468701859404</v>
      </c>
      <c r="AW24" s="102">
        <f t="shared" si="6"/>
        <v>252.80581196512523</v>
      </c>
      <c r="AX24" s="102">
        <f t="shared" si="6"/>
        <v>225.60151887407238</v>
      </c>
      <c r="AY24" s="102">
        <f t="shared" si="6"/>
        <v>4.3052704257725214</v>
      </c>
      <c r="AZ24" s="102">
        <f t="shared" si="6"/>
        <v>0</v>
      </c>
      <c r="BA24" s="102">
        <f t="shared" si="6"/>
        <v>0</v>
      </c>
      <c r="BB24" s="102">
        <f t="shared" si="6"/>
        <v>0</v>
      </c>
      <c r="BC24" s="102">
        <f t="shared" si="6"/>
        <v>0</v>
      </c>
      <c r="BD24" s="102">
        <f t="shared" si="6"/>
        <v>0</v>
      </c>
      <c r="BE24" s="102"/>
      <c r="BF24" s="102"/>
      <c r="BG24" s="102"/>
      <c r="BH24" s="102"/>
      <c r="BI24" s="102"/>
    </row>
    <row r="25" spans="1:61" s="17" customFormat="1" x14ac:dyDescent="0.25">
      <c r="A25" s="16" t="s">
        <v>224</v>
      </c>
      <c r="B25" s="101">
        <f>SUM(C25:BB25)</f>
        <v>2784.2108657431545</v>
      </c>
      <c r="C25" s="102">
        <f t="shared" si="6"/>
        <v>0</v>
      </c>
      <c r="D25" s="102">
        <f t="shared" si="6"/>
        <v>0</v>
      </c>
      <c r="E25" s="102">
        <f t="shared" si="6"/>
        <v>0</v>
      </c>
      <c r="F25" s="102">
        <f t="shared" si="6"/>
        <v>0</v>
      </c>
      <c r="G25" s="102">
        <f t="shared" si="6"/>
        <v>0</v>
      </c>
      <c r="H25" s="102">
        <f t="shared" si="6"/>
        <v>0</v>
      </c>
      <c r="I25" s="102">
        <f t="shared" si="6"/>
        <v>0</v>
      </c>
      <c r="J25" s="102">
        <f t="shared" si="6"/>
        <v>0</v>
      </c>
      <c r="K25" s="102">
        <f t="shared" si="6"/>
        <v>0</v>
      </c>
      <c r="L25" s="102">
        <f t="shared" si="6"/>
        <v>0</v>
      </c>
      <c r="M25" s="102">
        <f t="shared" si="6"/>
        <v>0</v>
      </c>
      <c r="N25" s="102">
        <f t="shared" si="6"/>
        <v>0</v>
      </c>
      <c r="O25" s="102">
        <f t="shared" si="6"/>
        <v>0</v>
      </c>
      <c r="P25" s="102">
        <f t="shared" si="6"/>
        <v>0</v>
      </c>
      <c r="Q25" s="102">
        <f t="shared" si="6"/>
        <v>0</v>
      </c>
      <c r="R25" s="102">
        <f t="shared" si="6"/>
        <v>0</v>
      </c>
      <c r="S25" s="102">
        <f t="shared" si="6"/>
        <v>0</v>
      </c>
      <c r="T25" s="102">
        <f t="shared" si="6"/>
        <v>0</v>
      </c>
      <c r="U25" s="102">
        <f t="shared" si="6"/>
        <v>0</v>
      </c>
      <c r="V25" s="102">
        <f t="shared" si="6"/>
        <v>0</v>
      </c>
      <c r="W25" s="102">
        <f t="shared" si="6"/>
        <v>0</v>
      </c>
      <c r="X25" s="102">
        <f t="shared" si="6"/>
        <v>5.2169634821999997</v>
      </c>
      <c r="Y25" s="102">
        <f t="shared" si="6"/>
        <v>35.497259133386265</v>
      </c>
      <c r="Z25" s="102">
        <f t="shared" si="6"/>
        <v>181.36790399590768</v>
      </c>
      <c r="AA25" s="102">
        <f t="shared" si="6"/>
        <v>178.55361840981189</v>
      </c>
      <c r="AB25" s="102">
        <f t="shared" si="6"/>
        <v>174.21420956160134</v>
      </c>
      <c r="AC25" s="102">
        <f t="shared" si="6"/>
        <v>169.67524824772099</v>
      </c>
      <c r="AD25" s="102">
        <f t="shared" si="6"/>
        <v>164.92733758515152</v>
      </c>
      <c r="AE25" s="102">
        <f t="shared" si="6"/>
        <v>159.96062577400477</v>
      </c>
      <c r="AF25" s="102">
        <f t="shared" si="6"/>
        <v>154.76478799227374</v>
      </c>
      <c r="AG25" s="102">
        <f t="shared" si="6"/>
        <v>149.32902773118809</v>
      </c>
      <c r="AH25" s="102">
        <f t="shared" si="6"/>
        <v>143.64198564525867</v>
      </c>
      <c r="AI25" s="102">
        <f t="shared" si="6"/>
        <v>137.69181866564639</v>
      </c>
      <c r="AJ25" s="102">
        <f t="shared" si="6"/>
        <v>131.4660544360803</v>
      </c>
      <c r="AK25" s="102">
        <f t="shared" si="6"/>
        <v>124.95166563234278</v>
      </c>
      <c r="AL25" s="102">
        <f t="shared" si="6"/>
        <v>118.13497453420121</v>
      </c>
      <c r="AM25" s="102">
        <f t="shared" si="6"/>
        <v>111.0016700217238</v>
      </c>
      <c r="AN25" s="102">
        <f t="shared" si="6"/>
        <v>103.53672408580863</v>
      </c>
      <c r="AO25" s="102">
        <f t="shared" si="6"/>
        <v>95.724414222752756</v>
      </c>
      <c r="AP25" s="102">
        <f t="shared" si="6"/>
        <v>87.548244836977744</v>
      </c>
      <c r="AQ25" s="102">
        <f t="shared" si="6"/>
        <v>78.99093265792628</v>
      </c>
      <c r="AR25" s="102">
        <f t="shared" si="6"/>
        <v>70.034356630403934</v>
      </c>
      <c r="AS25" s="102">
        <f t="shared" si="6"/>
        <v>60.65953531421772</v>
      </c>
      <c r="AT25" s="102">
        <f t="shared" si="6"/>
        <v>50.846560087849113</v>
      </c>
      <c r="AU25" s="102">
        <f t="shared" si="6"/>
        <v>40.574568015573107</v>
      </c>
      <c r="AV25" s="102">
        <f t="shared" si="6"/>
        <v>29.821692596213669</v>
      </c>
      <c r="AW25" s="102">
        <f t="shared" si="6"/>
        <v>18.597011473922624</v>
      </c>
      <c r="AX25" s="102">
        <f t="shared" si="6"/>
        <v>7.4347664813077863</v>
      </c>
      <c r="AY25" s="102">
        <f t="shared" si="6"/>
        <v>4.6908491701217393E-2</v>
      </c>
      <c r="AZ25" s="102">
        <f t="shared" si="6"/>
        <v>0</v>
      </c>
      <c r="BA25" s="102">
        <f t="shared" si="6"/>
        <v>0</v>
      </c>
      <c r="BB25" s="102">
        <f t="shared" si="6"/>
        <v>0</v>
      </c>
      <c r="BC25" s="102">
        <f t="shared" si="6"/>
        <v>0</v>
      </c>
      <c r="BD25" s="102">
        <f t="shared" si="6"/>
        <v>0</v>
      </c>
      <c r="BE25" s="102"/>
      <c r="BF25" s="102"/>
      <c r="BG25" s="102"/>
      <c r="BH25" s="102"/>
      <c r="BI25" s="102"/>
    </row>
    <row r="26" spans="1:61" s="17" customFormat="1" x14ac:dyDescent="0.25">
      <c r="A26" s="16" t="s">
        <v>225</v>
      </c>
      <c r="B26" s="101">
        <f>SUM(C26:BB26)</f>
        <v>6909.0358492385112</v>
      </c>
      <c r="C26" s="102">
        <f>C24+C25</f>
        <v>0</v>
      </c>
      <c r="D26" s="102">
        <f t="shared" ref="D26:U26" si="7">D24+D25</f>
        <v>0</v>
      </c>
      <c r="E26" s="102">
        <f t="shared" si="7"/>
        <v>0</v>
      </c>
      <c r="F26" s="102">
        <f t="shared" si="7"/>
        <v>0</v>
      </c>
      <c r="G26" s="102">
        <f t="shared" si="7"/>
        <v>0</v>
      </c>
      <c r="H26" s="102">
        <f t="shared" si="7"/>
        <v>0</v>
      </c>
      <c r="I26" s="102">
        <f t="shared" si="7"/>
        <v>0</v>
      </c>
      <c r="J26" s="102">
        <f t="shared" si="7"/>
        <v>0</v>
      </c>
      <c r="K26" s="102">
        <f t="shared" si="7"/>
        <v>0</v>
      </c>
      <c r="L26" s="102">
        <f t="shared" si="7"/>
        <v>0</v>
      </c>
      <c r="M26" s="102">
        <f t="shared" si="7"/>
        <v>0</v>
      </c>
      <c r="N26" s="102">
        <f t="shared" si="7"/>
        <v>0</v>
      </c>
      <c r="O26" s="102">
        <f t="shared" si="7"/>
        <v>0</v>
      </c>
      <c r="P26" s="102">
        <f t="shared" si="7"/>
        <v>0</v>
      </c>
      <c r="Q26" s="102">
        <f t="shared" si="7"/>
        <v>0</v>
      </c>
      <c r="R26" s="102">
        <f t="shared" si="7"/>
        <v>0</v>
      </c>
      <c r="S26" s="102">
        <f t="shared" si="7"/>
        <v>0</v>
      </c>
      <c r="T26" s="102">
        <f t="shared" si="7"/>
        <v>0</v>
      </c>
      <c r="U26" s="102">
        <f t="shared" si="7"/>
        <v>0</v>
      </c>
      <c r="V26" s="102">
        <f>V24+V25</f>
        <v>0</v>
      </c>
      <c r="W26" s="102">
        <f>W24+W25</f>
        <v>0</v>
      </c>
      <c r="X26" s="102">
        <f t="shared" ref="X26:AT26" si="8">X24+X25</f>
        <v>7.1587602453999999</v>
      </c>
      <c r="Y26" s="102">
        <f t="shared" si="8"/>
        <v>55.528318339627482</v>
      </c>
      <c r="Z26" s="102">
        <f t="shared" si="8"/>
        <v>273.43085233290668</v>
      </c>
      <c r="AA26" s="102">
        <f t="shared" si="8"/>
        <v>275.90352434182103</v>
      </c>
      <c r="AB26" s="102">
        <f t="shared" si="8"/>
        <v>275.88512820765595</v>
      </c>
      <c r="AC26" s="102">
        <f t="shared" si="8"/>
        <v>275.86595135955275</v>
      </c>
      <c r="AD26" s="102">
        <f t="shared" si="8"/>
        <v>275.84595143423064</v>
      </c>
      <c r="AE26" s="102">
        <f t="shared" si="8"/>
        <v>275.82511365250633</v>
      </c>
      <c r="AF26" s="102">
        <f t="shared" si="8"/>
        <v>275.80338001167217</v>
      </c>
      <c r="AG26" s="102">
        <f t="shared" si="8"/>
        <v>275.7807204804476</v>
      </c>
      <c r="AH26" s="102">
        <f t="shared" si="8"/>
        <v>275.75708939339313</v>
      </c>
      <c r="AI26" s="102">
        <f t="shared" si="8"/>
        <v>275.73245566419797</v>
      </c>
      <c r="AJ26" s="102">
        <f t="shared" si="8"/>
        <v>275.70675539855188</v>
      </c>
      <c r="AK26" s="102">
        <f t="shared" si="8"/>
        <v>275.67995847364955</v>
      </c>
      <c r="AL26" s="102">
        <f t="shared" si="8"/>
        <v>275.65200387118011</v>
      </c>
      <c r="AM26" s="102">
        <f t="shared" si="8"/>
        <v>275.62284340035183</v>
      </c>
      <c r="AN26" s="102">
        <f t="shared" si="8"/>
        <v>275.59242801957174</v>
      </c>
      <c r="AO26" s="102">
        <f t="shared" si="8"/>
        <v>275.56069170775197</v>
      </c>
      <c r="AP26" s="102">
        <f t="shared" si="8"/>
        <v>275.52758180769689</v>
      </c>
      <c r="AQ26" s="102">
        <f t="shared" si="8"/>
        <v>275.4930398681131</v>
      </c>
      <c r="AR26" s="102">
        <f t="shared" si="8"/>
        <v>275.4569903795242</v>
      </c>
      <c r="AS26" s="102">
        <f t="shared" si="8"/>
        <v>275.41937493085675</v>
      </c>
      <c r="AT26" s="102">
        <f t="shared" si="8"/>
        <v>275.38012263953368</v>
      </c>
      <c r="AU26" s="102">
        <f>AU24+AU25</f>
        <v>275.33914595160672</v>
      </c>
      <c r="AV26" s="102">
        <f>AV24+AV25</f>
        <v>275.29637961480773</v>
      </c>
      <c r="AW26" s="102">
        <f>AW24+AW25</f>
        <v>271.40282343904784</v>
      </c>
      <c r="AX26" s="102">
        <f t="shared" ref="AX26:BD26" si="9">AX24+AX25</f>
        <v>233.03628535538016</v>
      </c>
      <c r="AY26" s="102">
        <f t="shared" si="9"/>
        <v>4.3521789174737391</v>
      </c>
      <c r="AZ26" s="102">
        <f t="shared" si="9"/>
        <v>0</v>
      </c>
      <c r="BA26" s="102">
        <f t="shared" si="9"/>
        <v>0</v>
      </c>
      <c r="BB26" s="102">
        <f t="shared" si="9"/>
        <v>0</v>
      </c>
      <c r="BC26" s="102">
        <f t="shared" si="9"/>
        <v>0</v>
      </c>
      <c r="BD26" s="102">
        <f t="shared" si="9"/>
        <v>0</v>
      </c>
      <c r="BE26" s="102"/>
      <c r="BF26" s="102"/>
      <c r="BG26" s="102"/>
      <c r="BH26" s="102"/>
      <c r="BI26" s="102"/>
    </row>
    <row r="27" spans="1:61" s="17" customFormat="1" x14ac:dyDescent="0.25">
      <c r="A27" s="16" t="s">
        <v>16</v>
      </c>
      <c r="B27" s="101"/>
      <c r="C27" s="102">
        <f>C23-C24</f>
        <v>0</v>
      </c>
      <c r="D27" s="102">
        <f>C27+D23-D24</f>
        <v>0</v>
      </c>
      <c r="E27" s="102">
        <f>D27+E23-E24</f>
        <v>0</v>
      </c>
      <c r="F27" s="102">
        <f t="shared" ref="F27:BD27" si="10">E27+F23-F24</f>
        <v>0</v>
      </c>
      <c r="G27" s="102">
        <f t="shared" si="10"/>
        <v>0</v>
      </c>
      <c r="H27" s="102">
        <f t="shared" si="10"/>
        <v>0</v>
      </c>
      <c r="I27" s="102">
        <f t="shared" si="10"/>
        <v>0</v>
      </c>
      <c r="J27" s="102">
        <f t="shared" si="10"/>
        <v>0</v>
      </c>
      <c r="K27" s="102">
        <f t="shared" si="10"/>
        <v>0</v>
      </c>
      <c r="L27" s="102">
        <f t="shared" si="10"/>
        <v>0</v>
      </c>
      <c r="M27" s="102">
        <f t="shared" si="10"/>
        <v>0</v>
      </c>
      <c r="N27" s="102">
        <f t="shared" si="10"/>
        <v>0</v>
      </c>
      <c r="O27" s="102">
        <f t="shared" si="10"/>
        <v>0</v>
      </c>
      <c r="P27" s="102">
        <f t="shared" si="10"/>
        <v>0</v>
      </c>
      <c r="Q27" s="102">
        <f t="shared" si="10"/>
        <v>0</v>
      </c>
      <c r="R27" s="102">
        <f t="shared" si="10"/>
        <v>0</v>
      </c>
      <c r="S27" s="102">
        <f>R27+S23-S24</f>
        <v>0</v>
      </c>
      <c r="T27" s="102">
        <f t="shared" si="10"/>
        <v>0</v>
      </c>
      <c r="U27" s="102">
        <f t="shared" si="10"/>
        <v>0</v>
      </c>
      <c r="V27" s="102">
        <f t="shared" si="10"/>
        <v>0</v>
      </c>
      <c r="W27" s="102">
        <f t="shared" si="10"/>
        <v>0</v>
      </c>
      <c r="X27" s="102">
        <f t="shared" si="10"/>
        <v>429.85220323679999</v>
      </c>
      <c r="Y27" s="102">
        <f t="shared" si="10"/>
        <v>3981.821144030559</v>
      </c>
      <c r="Z27" s="102">
        <f t="shared" si="10"/>
        <v>4011.0866756935598</v>
      </c>
      <c r="AA27" s="102">
        <f t="shared" si="10"/>
        <v>3913.7367697615505</v>
      </c>
      <c r="AB27" s="102">
        <f t="shared" si="10"/>
        <v>3812.0658511154957</v>
      </c>
      <c r="AC27" s="102">
        <f t="shared" si="10"/>
        <v>3705.875148003664</v>
      </c>
      <c r="AD27" s="102">
        <f t="shared" si="10"/>
        <v>3594.9565341545849</v>
      </c>
      <c r="AE27" s="102">
        <f t="shared" si="10"/>
        <v>3479.0920462760832</v>
      </c>
      <c r="AF27" s="102">
        <f t="shared" si="10"/>
        <v>3358.0534542566847</v>
      </c>
      <c r="AG27" s="102">
        <f t="shared" si="10"/>
        <v>3231.6017615074252</v>
      </c>
      <c r="AH27" s="102">
        <f t="shared" si="10"/>
        <v>3099.4866577592907</v>
      </c>
      <c r="AI27" s="102">
        <f t="shared" si="10"/>
        <v>2961.446020760739</v>
      </c>
      <c r="AJ27" s="102">
        <f t="shared" si="10"/>
        <v>2817.2053197982673</v>
      </c>
      <c r="AK27" s="102">
        <f t="shared" si="10"/>
        <v>2666.4770269569603</v>
      </c>
      <c r="AL27" s="102">
        <f t="shared" si="10"/>
        <v>2508.9599976199816</v>
      </c>
      <c r="AM27" s="102">
        <f t="shared" si="10"/>
        <v>2344.3388242413534</v>
      </c>
      <c r="AN27" s="102">
        <f t="shared" si="10"/>
        <v>2172.2831203075903</v>
      </c>
      <c r="AO27" s="102">
        <f t="shared" si="10"/>
        <v>1992.446842822591</v>
      </c>
      <c r="AP27" s="102">
        <f t="shared" si="10"/>
        <v>1804.4675058518719</v>
      </c>
      <c r="AQ27" s="102">
        <f t="shared" si="10"/>
        <v>1607.9653986416852</v>
      </c>
      <c r="AR27" s="102">
        <f t="shared" si="10"/>
        <v>1402.5427648925649</v>
      </c>
      <c r="AS27" s="102">
        <f t="shared" si="10"/>
        <v>1187.7829252759259</v>
      </c>
      <c r="AT27" s="102">
        <f t="shared" si="10"/>
        <v>963.24936272424134</v>
      </c>
      <c r="AU27" s="102">
        <f t="shared" si="10"/>
        <v>728.48478478820766</v>
      </c>
      <c r="AV27" s="102">
        <f t="shared" si="10"/>
        <v>483.01009776961359</v>
      </c>
      <c r="AW27" s="102">
        <f t="shared" si="10"/>
        <v>230.20428580448836</v>
      </c>
      <c r="AX27" s="102">
        <f t="shared" si="10"/>
        <v>4.6027669304159815</v>
      </c>
      <c r="AY27" s="102">
        <f t="shared" si="10"/>
        <v>0.29749650464346011</v>
      </c>
      <c r="AZ27" s="102">
        <f t="shared" si="10"/>
        <v>0.29749650464346011</v>
      </c>
      <c r="BA27" s="102">
        <f t="shared" si="10"/>
        <v>0.29749650464346011</v>
      </c>
      <c r="BB27" s="102">
        <f t="shared" si="10"/>
        <v>0.29749650464346011</v>
      </c>
      <c r="BC27" s="102">
        <f t="shared" si="10"/>
        <v>0.29749650464346011</v>
      </c>
      <c r="BD27" s="102">
        <f t="shared" si="10"/>
        <v>0.29749650464346011</v>
      </c>
      <c r="BE27" s="102"/>
      <c r="BF27" s="102"/>
      <c r="BG27" s="102"/>
      <c r="BH27" s="102"/>
      <c r="BI27" s="102"/>
    </row>
    <row r="28" spans="1:61" s="17" customFormat="1" hidden="1" outlineLevel="1" x14ac:dyDescent="0.25">
      <c r="A28" s="16"/>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row>
    <row r="29" spans="1:61" hidden="1" outlineLevel="1" x14ac:dyDescent="0.25">
      <c r="A29" s="20" t="s">
        <v>226</v>
      </c>
      <c r="B29" s="101">
        <f t="shared" ref="B29:B47" si="11">SUM(C29:BB29)</f>
        <v>4915.453383813343</v>
      </c>
      <c r="C29" s="102">
        <v>0</v>
      </c>
      <c r="D29" s="102"/>
      <c r="E29" s="102"/>
      <c r="F29" s="102"/>
      <c r="G29" s="102"/>
      <c r="H29" s="102"/>
      <c r="I29" s="102"/>
      <c r="J29" s="102"/>
      <c r="K29" s="102"/>
      <c r="L29" s="102"/>
      <c r="M29" s="102"/>
      <c r="N29" s="102"/>
      <c r="O29" s="102"/>
      <c r="P29" s="102"/>
      <c r="Q29" s="102"/>
      <c r="R29" s="102"/>
      <c r="S29" s="102"/>
      <c r="T29" s="102"/>
      <c r="U29" s="102"/>
      <c r="V29" s="102"/>
      <c r="W29" s="102"/>
      <c r="X29" s="102"/>
      <c r="Y29" s="102"/>
      <c r="Z29" s="102">
        <f>+Z$8</f>
        <v>4915.453383813343</v>
      </c>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row>
    <row r="30" spans="1:61" s="17" customFormat="1" hidden="1" outlineLevel="1" x14ac:dyDescent="0.25">
      <c r="A30" s="16" t="s">
        <v>163</v>
      </c>
      <c r="B30" s="101">
        <f t="shared" si="11"/>
        <v>2537.9642889043489</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f>+Z34-Z32</f>
        <v>46.93171209137455</v>
      </c>
      <c r="AA30" s="102">
        <f>+AA34-AA32</f>
        <v>48.22117652498909</v>
      </c>
      <c r="AB30" s="102">
        <f t="shared" ref="AB30:AN31" si="12">+AB34-AB32</f>
        <v>50.90736419651239</v>
      </c>
      <c r="AC30" s="102">
        <f t="shared" si="12"/>
        <v>53.743187458177374</v>
      </c>
      <c r="AD30" s="102">
        <f t="shared" si="12"/>
        <v>56.736981844419873</v>
      </c>
      <c r="AE30" s="102">
        <f t="shared" si="12"/>
        <v>59.897547225294389</v>
      </c>
      <c r="AF30" s="102">
        <f t="shared" si="12"/>
        <v>63.234173672550199</v>
      </c>
      <c r="AG30" s="102">
        <f t="shared" si="12"/>
        <v>66.756668766591346</v>
      </c>
      <c r="AH30" s="102">
        <f t="shared" si="12"/>
        <v>70.475386424586546</v>
      </c>
      <c r="AI30" s="102">
        <f t="shared" si="12"/>
        <v>74.401257334464901</v>
      </c>
      <c r="AJ30" s="102">
        <f t="shared" si="12"/>
        <v>78.545821084254399</v>
      </c>
      <c r="AK30" s="102">
        <f t="shared" si="12"/>
        <v>82.921260081203357</v>
      </c>
      <c r="AL30" s="102">
        <f t="shared" si="12"/>
        <v>87.54043536038543</v>
      </c>
      <c r="AM30" s="102">
        <f t="shared" si="12"/>
        <v>92.416924388042986</v>
      </c>
      <c r="AN30" s="102">
        <f t="shared" si="12"/>
        <v>97.56506097078713</v>
      </c>
      <c r="AO30" s="102">
        <f t="shared" ref="AO30:AV30" si="13">+AO34-AO32</f>
        <v>102.99997738796191</v>
      </c>
      <c r="AP30" s="102">
        <f t="shared" si="13"/>
        <v>108.73764887101541</v>
      </c>
      <c r="AQ30" s="102">
        <f t="shared" si="13"/>
        <v>114.79494056061951</v>
      </c>
      <c r="AR30" s="102">
        <f t="shared" si="13"/>
        <v>121.18965707956187</v>
      </c>
      <c r="AS30" s="102">
        <f t="shared" si="13"/>
        <v>127.94059486712402</v>
      </c>
      <c r="AT30" s="102">
        <f t="shared" si="13"/>
        <v>135.067597428775</v>
      </c>
      <c r="AU30" s="102">
        <f t="shared" si="13"/>
        <v>142.59161366358063</v>
      </c>
      <c r="AV30" s="102">
        <f t="shared" si="13"/>
        <v>150.53475944077309</v>
      </c>
      <c r="AW30" s="102">
        <f t="shared" ref="AW30:AY30" si="14">+AW34-AW32</f>
        <v>158.92038260647868</v>
      </c>
      <c r="AX30" s="102">
        <f t="shared" si="14"/>
        <v>167.77313161168107</v>
      </c>
      <c r="AY30" s="102">
        <f t="shared" si="14"/>
        <v>177.11902796314411</v>
      </c>
      <c r="AZ30" s="102"/>
      <c r="BA30" s="102"/>
      <c r="BB30" s="102"/>
      <c r="BC30" s="102"/>
      <c r="BD30" s="102"/>
      <c r="BE30" s="102"/>
      <c r="BF30" s="102"/>
      <c r="BG30" s="102"/>
      <c r="BH30" s="102"/>
      <c r="BI30" s="102"/>
    </row>
    <row r="31" spans="1:61" s="17" customFormat="1" hidden="1" outlineLevel="1" x14ac:dyDescent="0.25">
      <c r="A31" s="16" t="s">
        <v>163</v>
      </c>
      <c r="B31" s="101">
        <f t="shared" si="11"/>
        <v>2377.4890949089954</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f>+AA35-AA33</f>
        <v>49.546069423738686</v>
      </c>
      <c r="AB31" s="102">
        <f t="shared" si="12"/>
        <v>52.306060996932985</v>
      </c>
      <c r="AC31" s="102">
        <f t="shared" si="12"/>
        <v>55.219799447986617</v>
      </c>
      <c r="AD31" s="102">
        <f t="shared" si="12"/>
        <v>58.295849332922572</v>
      </c>
      <c r="AE31" s="102">
        <f t="shared" si="12"/>
        <v>61.543252301158432</v>
      </c>
      <c r="AF31" s="102">
        <f t="shared" si="12"/>
        <v>64.971553672261408</v>
      </c>
      <c r="AG31" s="102">
        <f t="shared" si="12"/>
        <v>68.590830493176355</v>
      </c>
      <c r="AH31" s="102">
        <f t="shared" si="12"/>
        <v>72.41172115839754</v>
      </c>
      <c r="AI31" s="102">
        <f t="shared" si="12"/>
        <v>76.445456680148425</v>
      </c>
      <c r="AJ31" s="102">
        <f t="shared" si="12"/>
        <v>80.703893700484642</v>
      </c>
      <c r="AK31" s="102">
        <f t="shared" si="12"/>
        <v>85.199549342354445</v>
      </c>
      <c r="AL31" s="102">
        <f t="shared" si="12"/>
        <v>89.945638002057137</v>
      </c>
      <c r="AM31" s="102">
        <f t="shared" si="12"/>
        <v>94.956110191245926</v>
      </c>
      <c r="AN31" s="102">
        <f t="shared" si="12"/>
        <v>100.24569354264651</v>
      </c>
      <c r="AO31" s="102">
        <f t="shared" ref="AO31:AV31" si="15">+AO35-AO33</f>
        <v>105.82993610002194</v>
      </c>
      <c r="AP31" s="102">
        <f t="shared" si="15"/>
        <v>111.72525201962952</v>
      </c>
      <c r="AQ31" s="102">
        <f t="shared" si="15"/>
        <v>117.94896981750271</v>
      </c>
      <c r="AR31" s="102">
        <f t="shared" si="15"/>
        <v>124.5193833043752</v>
      </c>
      <c r="AS31" s="102">
        <f t="shared" si="15"/>
        <v>131.45580535796319</v>
      </c>
      <c r="AT31" s="102">
        <f t="shared" si="15"/>
        <v>138.77862469066309</v>
      </c>
      <c r="AU31" s="102">
        <f t="shared" si="15"/>
        <v>146.50936577952538</v>
      </c>
      <c r="AV31" s="102">
        <f t="shared" si="15"/>
        <v>154.67075213466148</v>
      </c>
      <c r="AW31" s="102">
        <f t="shared" ref="AW31:AY31" si="16">+AW35-AW33</f>
        <v>163.28677309205256</v>
      </c>
      <c r="AX31" s="102">
        <f t="shared" si="16"/>
        <v>172.3827543270892</v>
      </c>
      <c r="AY31" s="102">
        <f t="shared" si="16"/>
        <v>5.8567195537762014E-14</v>
      </c>
      <c r="AZ31" s="102"/>
      <c r="BA31" s="102"/>
      <c r="BB31" s="102"/>
      <c r="BC31" s="102"/>
      <c r="BD31" s="102"/>
      <c r="BE31" s="102"/>
      <c r="BF31" s="102"/>
      <c r="BG31" s="102"/>
      <c r="BH31" s="102"/>
      <c r="BI31" s="102"/>
    </row>
    <row r="32" spans="1:61" s="17" customFormat="1" hidden="1" outlineLevel="1" x14ac:dyDescent="0.25">
      <c r="A32" s="16" t="s">
        <v>164</v>
      </c>
      <c r="B32" s="101">
        <f t="shared" si="11"/>
        <v>2193.6569507944428</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f>+Z29*($Z$9/2)</f>
        <v>135.05372020473285</v>
      </c>
      <c r="AA32" s="102">
        <f t="shared" ref="AA32:AN32" si="17">+Z37*$Z$9/2</f>
        <v>133.76425577111831</v>
      </c>
      <c r="AB32" s="102">
        <f t="shared" si="17"/>
        <v>131.07806809959501</v>
      </c>
      <c r="AC32" s="102">
        <f t="shared" si="17"/>
        <v>128.24224483793003</v>
      </c>
      <c r="AD32" s="102">
        <f t="shared" si="17"/>
        <v>125.24845045168753</v>
      </c>
      <c r="AE32" s="102">
        <f t="shared" si="17"/>
        <v>122.08788507081302</v>
      </c>
      <c r="AF32" s="102">
        <f t="shared" si="17"/>
        <v>118.75125862355721</v>
      </c>
      <c r="AG32" s="102">
        <f t="shared" si="17"/>
        <v>115.22876352951606</v>
      </c>
      <c r="AH32" s="102">
        <f t="shared" si="17"/>
        <v>111.51004587152086</v>
      </c>
      <c r="AI32" s="102">
        <f t="shared" si="17"/>
        <v>107.5841749616425</v>
      </c>
      <c r="AJ32" s="102">
        <f t="shared" si="17"/>
        <v>103.43961121185301</v>
      </c>
      <c r="AK32" s="102">
        <f t="shared" si="17"/>
        <v>99.064172214904048</v>
      </c>
      <c r="AL32" s="102">
        <f t="shared" si="17"/>
        <v>94.444996935721974</v>
      </c>
      <c r="AM32" s="102">
        <f t="shared" si="17"/>
        <v>89.568507908064419</v>
      </c>
      <c r="AN32" s="102">
        <f t="shared" si="17"/>
        <v>84.420371325320275</v>
      </c>
      <c r="AO32" s="102">
        <f t="shared" ref="AO32" si="18">+AN37*$Z$9/2</f>
        <v>78.985454908145499</v>
      </c>
      <c r="AP32" s="102">
        <f t="shared" ref="AP32" si="19">+AO37*$Z$9/2</f>
        <v>73.247783425091995</v>
      </c>
      <c r="AQ32" s="102">
        <f t="shared" ref="AQ32" si="20">+AP37*$Z$9/2</f>
        <v>67.190491735487896</v>
      </c>
      <c r="AR32" s="102">
        <f t="shared" ref="AR32" si="21">+AQ37*$Z$9/2</f>
        <v>60.795775216545529</v>
      </c>
      <c r="AS32" s="102">
        <f t="shared" ref="AS32" si="22">+AR37*$Z$9/2</f>
        <v>54.044837428983392</v>
      </c>
      <c r="AT32" s="102">
        <f t="shared" ref="AT32" si="23">+AS37*$Z$9/2</f>
        <v>46.917834867332388</v>
      </c>
      <c r="AU32" s="102">
        <f t="shared" ref="AU32" si="24">+AT37*$Z$9/2</f>
        <v>39.393818632526788</v>
      </c>
      <c r="AV32" s="102">
        <f t="shared" ref="AV32" si="25">+AU37*$Z$9/2</f>
        <v>31.450672855334304</v>
      </c>
      <c r="AW32" s="102">
        <f t="shared" ref="AW32" si="26">+AV37*$Z$9/2</f>
        <v>23.065049689628715</v>
      </c>
      <c r="AX32" s="102">
        <f t="shared" ref="AX32" si="27">+AW37*$Z$9/2</f>
        <v>14.212300684426337</v>
      </c>
      <c r="AY32" s="102">
        <f t="shared" ref="AY32" si="28">+AX37*$Z$9/2</f>
        <v>4.8664043329633131</v>
      </c>
      <c r="AZ32" s="102"/>
      <c r="BA32" s="102"/>
      <c r="BB32" s="102"/>
      <c r="BC32" s="102"/>
      <c r="BD32" s="102"/>
      <c r="BE32" s="102"/>
      <c r="BF32" s="102"/>
      <c r="BG32" s="102"/>
      <c r="BH32" s="102"/>
      <c r="BI32" s="102"/>
    </row>
    <row r="33" spans="1:61" s="17" customFormat="1" hidden="1" outlineLevel="1" x14ac:dyDescent="0.25">
      <c r="A33" s="16" t="s">
        <v>164</v>
      </c>
      <c r="B33" s="101">
        <f t="shared" si="11"/>
        <v>1990.1612801975821</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f t="shared" ref="AA33:AN33" si="29">+AA36*$Z$9/2</f>
        <v>132.43936287236872</v>
      </c>
      <c r="AB33" s="102">
        <f t="shared" si="29"/>
        <v>129.67937129917442</v>
      </c>
      <c r="AC33" s="102">
        <f t="shared" si="29"/>
        <v>126.76563284812079</v>
      </c>
      <c r="AD33" s="102">
        <f t="shared" si="29"/>
        <v>123.68958296318483</v>
      </c>
      <c r="AE33" s="102">
        <f t="shared" si="29"/>
        <v>120.44217999494897</v>
      </c>
      <c r="AF33" s="102">
        <f t="shared" si="29"/>
        <v>117.013878623846</v>
      </c>
      <c r="AG33" s="102">
        <f t="shared" si="29"/>
        <v>113.39460180293105</v>
      </c>
      <c r="AH33" s="102">
        <f t="shared" si="29"/>
        <v>109.57371113770986</v>
      </c>
      <c r="AI33" s="102">
        <f t="shared" si="29"/>
        <v>105.53997561595898</v>
      </c>
      <c r="AJ33" s="102">
        <f t="shared" si="29"/>
        <v>101.28153859562276</v>
      </c>
      <c r="AK33" s="102">
        <f t="shared" si="29"/>
        <v>96.78588295375296</v>
      </c>
      <c r="AL33" s="102">
        <f t="shared" si="29"/>
        <v>92.039794294050267</v>
      </c>
      <c r="AM33" s="102">
        <f t="shared" si="29"/>
        <v>87.029322104861478</v>
      </c>
      <c r="AN33" s="102">
        <f t="shared" si="29"/>
        <v>81.739738753460898</v>
      </c>
      <c r="AO33" s="102">
        <f t="shared" ref="AO33:AV33" si="30">+AO36*$Z$9/2</f>
        <v>76.155496196085465</v>
      </c>
      <c r="AP33" s="102">
        <f t="shared" si="30"/>
        <v>70.260180276477882</v>
      </c>
      <c r="AQ33" s="102">
        <f t="shared" si="30"/>
        <v>64.03646247860469</v>
      </c>
      <c r="AR33" s="102">
        <f t="shared" si="30"/>
        <v>57.466048991732201</v>
      </c>
      <c r="AS33" s="102">
        <f t="shared" si="30"/>
        <v>50.529626938144204</v>
      </c>
      <c r="AT33" s="102">
        <f t="shared" si="30"/>
        <v>43.206807605444311</v>
      </c>
      <c r="AU33" s="102">
        <f t="shared" si="30"/>
        <v>35.476066516582023</v>
      </c>
      <c r="AV33" s="102">
        <f t="shared" si="30"/>
        <v>27.314680161445917</v>
      </c>
      <c r="AW33" s="102">
        <f t="shared" ref="AW33:AY33" si="31">+AW36*$Z$9/2</f>
        <v>18.698659204054845</v>
      </c>
      <c r="AX33" s="102">
        <f t="shared" si="31"/>
        <v>9.6026779690181971</v>
      </c>
      <c r="AY33" s="102">
        <f t="shared" si="31"/>
        <v>-5.8567195537762014E-14</v>
      </c>
      <c r="AZ33" s="102"/>
      <c r="BA33" s="102"/>
      <c r="BB33" s="102"/>
      <c r="BC33" s="102"/>
      <c r="BD33" s="102"/>
      <c r="BE33" s="102"/>
      <c r="BF33" s="102"/>
      <c r="BG33" s="102"/>
      <c r="BH33" s="102"/>
      <c r="BI33" s="102"/>
    </row>
    <row r="34" spans="1:61" s="17" customFormat="1" hidden="1" outlineLevel="1" x14ac:dyDescent="0.25">
      <c r="A34" s="16" t="s">
        <v>220</v>
      </c>
      <c r="B34" s="101">
        <f t="shared" si="11"/>
        <v>4731.6212396987912</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f>-PMT($Z$9/2,$Z$10*2,Z29)</f>
        <v>181.9854322961074</v>
      </c>
      <c r="AA34" s="102">
        <f t="shared" ref="AA34:AN34" si="32">+Z34</f>
        <v>181.9854322961074</v>
      </c>
      <c r="AB34" s="102">
        <f t="shared" si="32"/>
        <v>181.9854322961074</v>
      </c>
      <c r="AC34" s="102">
        <f t="shared" si="32"/>
        <v>181.9854322961074</v>
      </c>
      <c r="AD34" s="102">
        <f t="shared" si="32"/>
        <v>181.9854322961074</v>
      </c>
      <c r="AE34" s="102">
        <f t="shared" si="32"/>
        <v>181.9854322961074</v>
      </c>
      <c r="AF34" s="102">
        <f t="shared" si="32"/>
        <v>181.9854322961074</v>
      </c>
      <c r="AG34" s="102">
        <f t="shared" si="32"/>
        <v>181.9854322961074</v>
      </c>
      <c r="AH34" s="102">
        <f t="shared" si="32"/>
        <v>181.9854322961074</v>
      </c>
      <c r="AI34" s="102">
        <f t="shared" si="32"/>
        <v>181.9854322961074</v>
      </c>
      <c r="AJ34" s="102">
        <f t="shared" si="32"/>
        <v>181.9854322961074</v>
      </c>
      <c r="AK34" s="102">
        <f t="shared" si="32"/>
        <v>181.9854322961074</v>
      </c>
      <c r="AL34" s="102">
        <f t="shared" si="32"/>
        <v>181.9854322961074</v>
      </c>
      <c r="AM34" s="102">
        <f t="shared" si="32"/>
        <v>181.9854322961074</v>
      </c>
      <c r="AN34" s="102">
        <f t="shared" si="32"/>
        <v>181.9854322961074</v>
      </c>
      <c r="AO34" s="102">
        <f t="shared" ref="AO34" si="33">+AN34</f>
        <v>181.9854322961074</v>
      </c>
      <c r="AP34" s="102">
        <f t="shared" ref="AP34" si="34">+AO34</f>
        <v>181.9854322961074</v>
      </c>
      <c r="AQ34" s="102">
        <f t="shared" ref="AQ34" si="35">+AP34</f>
        <v>181.9854322961074</v>
      </c>
      <c r="AR34" s="102">
        <f t="shared" ref="AR34" si="36">+AQ34</f>
        <v>181.9854322961074</v>
      </c>
      <c r="AS34" s="102">
        <f t="shared" ref="AS34" si="37">+AR34</f>
        <v>181.9854322961074</v>
      </c>
      <c r="AT34" s="102">
        <f t="shared" ref="AT34" si="38">+AS34</f>
        <v>181.9854322961074</v>
      </c>
      <c r="AU34" s="102">
        <f t="shared" ref="AU34" si="39">+AT34</f>
        <v>181.9854322961074</v>
      </c>
      <c r="AV34" s="102">
        <f t="shared" ref="AV34" si="40">+AU34</f>
        <v>181.9854322961074</v>
      </c>
      <c r="AW34" s="102">
        <f t="shared" ref="AW34" si="41">+AV34</f>
        <v>181.9854322961074</v>
      </c>
      <c r="AX34" s="102">
        <f t="shared" ref="AX34" si="42">+AW34</f>
        <v>181.9854322961074</v>
      </c>
      <c r="AY34" s="102">
        <f t="shared" ref="AY34" si="43">+AX34</f>
        <v>181.9854322961074</v>
      </c>
      <c r="AZ34" s="102"/>
      <c r="BA34" s="102"/>
      <c r="BB34" s="102"/>
      <c r="BC34" s="102"/>
      <c r="BD34" s="102"/>
      <c r="BE34" s="102"/>
      <c r="BF34" s="102"/>
      <c r="BG34" s="102"/>
      <c r="BH34" s="102"/>
      <c r="BI34" s="102"/>
    </row>
    <row r="35" spans="1:61" s="17" customFormat="1" hidden="1" outlineLevel="1" x14ac:dyDescent="0.25">
      <c r="A35" s="16" t="s">
        <v>220</v>
      </c>
      <c r="B35" s="101">
        <f t="shared" si="11"/>
        <v>4367.6503751065766</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f t="shared" ref="AA35:AN35" si="44">+AA34</f>
        <v>181.9854322961074</v>
      </c>
      <c r="AB35" s="102">
        <f t="shared" si="44"/>
        <v>181.9854322961074</v>
      </c>
      <c r="AC35" s="102">
        <f t="shared" si="44"/>
        <v>181.9854322961074</v>
      </c>
      <c r="AD35" s="102">
        <f t="shared" si="44"/>
        <v>181.9854322961074</v>
      </c>
      <c r="AE35" s="102">
        <f t="shared" si="44"/>
        <v>181.9854322961074</v>
      </c>
      <c r="AF35" s="102">
        <f t="shared" si="44"/>
        <v>181.9854322961074</v>
      </c>
      <c r="AG35" s="102">
        <f t="shared" si="44"/>
        <v>181.9854322961074</v>
      </c>
      <c r="AH35" s="102">
        <f t="shared" si="44"/>
        <v>181.9854322961074</v>
      </c>
      <c r="AI35" s="102">
        <f t="shared" si="44"/>
        <v>181.9854322961074</v>
      </c>
      <c r="AJ35" s="102">
        <f t="shared" si="44"/>
        <v>181.9854322961074</v>
      </c>
      <c r="AK35" s="102">
        <f t="shared" si="44"/>
        <v>181.9854322961074</v>
      </c>
      <c r="AL35" s="102">
        <f t="shared" si="44"/>
        <v>181.9854322961074</v>
      </c>
      <c r="AM35" s="102">
        <f t="shared" si="44"/>
        <v>181.9854322961074</v>
      </c>
      <c r="AN35" s="102">
        <f t="shared" si="44"/>
        <v>181.9854322961074</v>
      </c>
      <c r="AO35" s="102">
        <f t="shared" ref="AO35:AV35" si="45">+AO34</f>
        <v>181.9854322961074</v>
      </c>
      <c r="AP35" s="102">
        <f t="shared" si="45"/>
        <v>181.9854322961074</v>
      </c>
      <c r="AQ35" s="102">
        <f t="shared" si="45"/>
        <v>181.9854322961074</v>
      </c>
      <c r="AR35" s="102">
        <f t="shared" si="45"/>
        <v>181.9854322961074</v>
      </c>
      <c r="AS35" s="102">
        <f t="shared" si="45"/>
        <v>181.9854322961074</v>
      </c>
      <c r="AT35" s="102">
        <f t="shared" si="45"/>
        <v>181.9854322961074</v>
      </c>
      <c r="AU35" s="102">
        <f t="shared" si="45"/>
        <v>181.9854322961074</v>
      </c>
      <c r="AV35" s="102">
        <f t="shared" si="45"/>
        <v>181.9854322961074</v>
      </c>
      <c r="AW35" s="102">
        <f t="shared" ref="AW35:AX35" si="46">+AW34</f>
        <v>181.9854322961074</v>
      </c>
      <c r="AX35" s="102">
        <f t="shared" si="46"/>
        <v>181.9854322961074</v>
      </c>
      <c r="AY35" s="102"/>
      <c r="AZ35" s="102"/>
      <c r="BA35" s="102"/>
      <c r="BB35" s="102"/>
      <c r="BC35" s="102"/>
      <c r="BD35" s="102"/>
      <c r="BE35" s="102"/>
      <c r="BF35" s="102"/>
      <c r="BG35" s="102"/>
      <c r="BH35" s="102"/>
      <c r="BI35" s="102"/>
    </row>
    <row r="36" spans="1:61" s="17" customFormat="1" hidden="1" outlineLevel="1" x14ac:dyDescent="0.25">
      <c r="A36" s="16" t="s">
        <v>227</v>
      </c>
      <c r="B36" s="101">
        <f t="shared" si="11"/>
        <v>72434.472625054535</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v>0</v>
      </c>
      <c r="AA36" s="102">
        <f t="shared" ref="AA36:AN36" si="47">+Z37-AA30</f>
        <v>4820.3004951969788</v>
      </c>
      <c r="AB36" s="102">
        <f t="shared" si="47"/>
        <v>4719.8470615767274</v>
      </c>
      <c r="AC36" s="102">
        <f t="shared" si="47"/>
        <v>4613.7978131216169</v>
      </c>
      <c r="AD36" s="102">
        <f t="shared" si="47"/>
        <v>4501.8410318292108</v>
      </c>
      <c r="AE36" s="102">
        <f t="shared" si="47"/>
        <v>4383.6476352709942</v>
      </c>
      <c r="AF36" s="102">
        <f t="shared" si="47"/>
        <v>4258.8702092972853</v>
      </c>
      <c r="AG36" s="102">
        <f t="shared" si="47"/>
        <v>4127.1419868584326</v>
      </c>
      <c r="AH36" s="102">
        <f t="shared" si="47"/>
        <v>3988.0757699406695</v>
      </c>
      <c r="AI36" s="102">
        <f t="shared" si="47"/>
        <v>3841.2627914478071</v>
      </c>
      <c r="AJ36" s="102">
        <f t="shared" si="47"/>
        <v>3686.2715136834045</v>
      </c>
      <c r="AK36" s="102">
        <f t="shared" si="47"/>
        <v>3522.6463599017166</v>
      </c>
      <c r="AL36" s="102">
        <f t="shared" si="47"/>
        <v>3349.9063751989765</v>
      </c>
      <c r="AM36" s="102">
        <f t="shared" si="47"/>
        <v>3167.5438128088767</v>
      </c>
      <c r="AN36" s="102">
        <f t="shared" si="47"/>
        <v>2975.0226416468436</v>
      </c>
      <c r="AO36" s="102">
        <f t="shared" ref="AO36" si="48">+AN37-AO30</f>
        <v>2771.7769707162352</v>
      </c>
      <c r="AP36" s="102">
        <f t="shared" ref="AP36" si="49">+AO37-AP30</f>
        <v>2557.2093857451978</v>
      </c>
      <c r="AQ36" s="102">
        <f t="shared" ref="AQ36" si="50">+AP37-AQ30</f>
        <v>2330.6891931649488</v>
      </c>
      <c r="AR36" s="102">
        <f t="shared" ref="AR36" si="51">+AQ37-AR30</f>
        <v>2091.5505662678843</v>
      </c>
      <c r="AS36" s="102">
        <f t="shared" ref="AS36" si="52">+AR37-AS30</f>
        <v>1839.0905880963851</v>
      </c>
      <c r="AT36" s="102">
        <f t="shared" ref="AT36" si="53">+AS37-AT30</f>
        <v>1572.5671853096469</v>
      </c>
      <c r="AU36" s="102">
        <f t="shared" ref="AU36" si="54">+AT37-AU30</f>
        <v>1291.1969469554033</v>
      </c>
      <c r="AV36" s="102">
        <f t="shared" ref="AV36" si="55">+AU37-AV30</f>
        <v>994.15282173510491</v>
      </c>
      <c r="AW36" s="102">
        <f t="shared" ref="AW36" si="56">+AV37-AW30</f>
        <v>680.56168699396471</v>
      </c>
      <c r="AX36" s="102">
        <f t="shared" ref="AX36" si="57">+AW37-AX30</f>
        <v>349.50178229023118</v>
      </c>
      <c r="AY36" s="102">
        <f t="shared" ref="AY36" si="58">+AX37-AY30</f>
        <v>-2.1316282072803006E-12</v>
      </c>
      <c r="AZ36" s="102"/>
      <c r="BA36" s="102"/>
      <c r="BB36" s="102"/>
      <c r="BC36" s="102"/>
      <c r="BD36" s="102"/>
      <c r="BE36" s="102"/>
      <c r="BF36" s="102"/>
      <c r="BG36" s="102"/>
      <c r="BH36" s="102"/>
      <c r="BI36" s="102"/>
    </row>
    <row r="37" spans="1:61" s="17" customFormat="1" hidden="1" outlineLevel="1" x14ac:dyDescent="0.25">
      <c r="A37" s="16" t="s">
        <v>16</v>
      </c>
      <c r="B37" s="101">
        <f t="shared" si="11"/>
        <v>74925.505201867505</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f>+Z29-Z30</f>
        <v>4868.5216717219682</v>
      </c>
      <c r="AA37" s="102">
        <f t="shared" ref="AA37:AN37" si="59">+AA36-AA31</f>
        <v>4770.7544257732397</v>
      </c>
      <c r="AB37" s="102">
        <f t="shared" si="59"/>
        <v>4667.5410005797939</v>
      </c>
      <c r="AC37" s="102">
        <f t="shared" si="59"/>
        <v>4558.5780136736303</v>
      </c>
      <c r="AD37" s="102">
        <f t="shared" si="59"/>
        <v>4443.5451824962884</v>
      </c>
      <c r="AE37" s="102">
        <f t="shared" si="59"/>
        <v>4322.1043829698356</v>
      </c>
      <c r="AF37" s="102">
        <f t="shared" si="59"/>
        <v>4193.8986556250238</v>
      </c>
      <c r="AG37" s="102">
        <f t="shared" si="59"/>
        <v>4058.5511563652562</v>
      </c>
      <c r="AH37" s="102">
        <f t="shared" si="59"/>
        <v>3915.6640487822719</v>
      </c>
      <c r="AI37" s="102">
        <f t="shared" si="59"/>
        <v>3764.8173347676588</v>
      </c>
      <c r="AJ37" s="102">
        <f t="shared" si="59"/>
        <v>3605.56761998292</v>
      </c>
      <c r="AK37" s="102">
        <f t="shared" si="59"/>
        <v>3437.4468105593619</v>
      </c>
      <c r="AL37" s="102">
        <f t="shared" si="59"/>
        <v>3259.9607371969196</v>
      </c>
      <c r="AM37" s="102">
        <f t="shared" si="59"/>
        <v>3072.5877026176308</v>
      </c>
      <c r="AN37" s="102">
        <f t="shared" si="59"/>
        <v>2874.7769481041969</v>
      </c>
      <c r="AO37" s="102">
        <f t="shared" ref="AO37:AV37" si="60">+AO36-AO31</f>
        <v>2665.9470346162134</v>
      </c>
      <c r="AP37" s="102">
        <f t="shared" si="60"/>
        <v>2445.4841337255684</v>
      </c>
      <c r="AQ37" s="102">
        <f t="shared" si="60"/>
        <v>2212.7402233474463</v>
      </c>
      <c r="AR37" s="102">
        <f t="shared" si="60"/>
        <v>1967.0311829635091</v>
      </c>
      <c r="AS37" s="102">
        <f t="shared" si="60"/>
        <v>1707.634782738422</v>
      </c>
      <c r="AT37" s="102">
        <f t="shared" si="60"/>
        <v>1433.7885606189839</v>
      </c>
      <c r="AU37" s="102">
        <f t="shared" si="60"/>
        <v>1144.687581175878</v>
      </c>
      <c r="AV37" s="102">
        <f t="shared" si="60"/>
        <v>839.48206960044342</v>
      </c>
      <c r="AW37" s="102">
        <f t="shared" ref="AW37:AY37" si="61">+AW36-AW31</f>
        <v>517.27491390191221</v>
      </c>
      <c r="AX37" s="102">
        <f t="shared" si="61"/>
        <v>177.11902796314197</v>
      </c>
      <c r="AY37" s="102">
        <f t="shared" si="61"/>
        <v>-2.1901954028180624E-12</v>
      </c>
      <c r="AZ37" s="102"/>
      <c r="BA37" s="102"/>
      <c r="BB37" s="102"/>
      <c r="BC37" s="102"/>
      <c r="BD37" s="102"/>
      <c r="BE37" s="102"/>
      <c r="BF37" s="102"/>
      <c r="BG37" s="102"/>
      <c r="BH37" s="102"/>
      <c r="BI37" s="102"/>
    </row>
    <row r="38" spans="1:61" s="17" customFormat="1" hidden="1" outlineLevel="1" x14ac:dyDescent="0.25">
      <c r="A38" s="16"/>
      <c r="B38" s="101">
        <f t="shared" si="11"/>
        <v>0</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row>
    <row r="39" spans="1:61" hidden="1" outlineLevel="1" x14ac:dyDescent="0.25">
      <c r="A39" s="20" t="str">
        <f t="shared" ref="A39:A47" si="62">A29</f>
        <v>Debt Forecasted</v>
      </c>
      <c r="B39" s="101">
        <f t="shared" si="11"/>
        <v>12480</v>
      </c>
      <c r="C39" s="102">
        <v>0</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f>+AA$8</f>
        <v>12480</v>
      </c>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row>
    <row r="40" spans="1:61" s="17" customFormat="1" hidden="1" outlineLevel="1" x14ac:dyDescent="0.25">
      <c r="A40" s="16" t="str">
        <f t="shared" si="62"/>
        <v>Principal</v>
      </c>
      <c r="B40" s="101">
        <f t="shared" si="11"/>
        <v>6600.5439108096971</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f>+AA44-AA42</f>
        <v>281.9403360148882</v>
      </c>
      <c r="AB40" s="102">
        <f>+AB44-AB42</f>
        <v>289.13400341111725</v>
      </c>
      <c r="AC40" s="102">
        <f t="shared" ref="AC40:AP41" si="63">+AC44-AC42</f>
        <v>304.07665752597615</v>
      </c>
      <c r="AD40" s="102">
        <f t="shared" si="63"/>
        <v>319.79155879738562</v>
      </c>
      <c r="AE40" s="102">
        <f t="shared" si="63"/>
        <v>336.31861751612905</v>
      </c>
      <c r="AF40" s="102">
        <f t="shared" si="63"/>
        <v>353.69980656564167</v>
      </c>
      <c r="AG40" s="102">
        <f t="shared" si="63"/>
        <v>371.97926801828817</v>
      </c>
      <c r="AH40" s="102">
        <f t="shared" si="63"/>
        <v>391.20342524061346</v>
      </c>
      <c r="AI40" s="102">
        <f t="shared" si="63"/>
        <v>411.42110079227359</v>
      </c>
      <c r="AJ40" s="102">
        <f t="shared" si="63"/>
        <v>432.68364041806797</v>
      </c>
      <c r="AK40" s="102">
        <f t="shared" si="63"/>
        <v>455.04504344797033</v>
      </c>
      <c r="AL40" s="102">
        <f t="shared" si="63"/>
        <v>478.56209993632706</v>
      </c>
      <c r="AM40" s="102">
        <f t="shared" si="63"/>
        <v>503.29453488850788</v>
      </c>
      <c r="AN40" s="102">
        <f t="shared" si="63"/>
        <v>529.30515994129473</v>
      </c>
      <c r="AO40" s="102">
        <f t="shared" si="63"/>
        <v>556.66003288222225</v>
      </c>
      <c r="AP40" s="102">
        <f t="shared" si="63"/>
        <v>585.42862541299348</v>
      </c>
      <c r="AQ40" s="102"/>
      <c r="AR40" s="102"/>
      <c r="AS40" s="102"/>
      <c r="AT40" s="102"/>
      <c r="AU40" s="102"/>
      <c r="AV40" s="102"/>
      <c r="AW40" s="102"/>
      <c r="AX40" s="102"/>
      <c r="AY40" s="102"/>
      <c r="AZ40" s="102"/>
      <c r="BA40" s="102"/>
      <c r="BB40" s="102"/>
      <c r="BC40" s="102"/>
      <c r="BD40" s="102"/>
      <c r="BE40" s="102"/>
      <c r="BF40" s="102"/>
      <c r="BG40" s="102"/>
      <c r="BH40" s="102"/>
      <c r="BI40" s="102"/>
    </row>
    <row r="41" spans="1:61" s="17" customFormat="1" hidden="1" outlineLevel="1" x14ac:dyDescent="0.25">
      <c r="A41" s="16" t="str">
        <f t="shared" si="62"/>
        <v>Principal</v>
      </c>
      <c r="B41" s="101">
        <f t="shared" si="11"/>
        <v>5879.4560891903002</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f>+AB45-AB43</f>
        <v>296.51121620329428</v>
      </c>
      <c r="AC41" s="102">
        <f t="shared" si="63"/>
        <v>311.83513000322898</v>
      </c>
      <c r="AD41" s="102">
        <f t="shared" si="63"/>
        <v>327.95099473559253</v>
      </c>
      <c r="AE41" s="102">
        <f t="shared" si="63"/>
        <v>344.89973899653626</v>
      </c>
      <c r="AF41" s="102">
        <f t="shared" si="63"/>
        <v>362.72440660162016</v>
      </c>
      <c r="AG41" s="102">
        <f t="shared" si="63"/>
        <v>381.47026590187932</v>
      </c>
      <c r="AH41" s="102">
        <f t="shared" si="63"/>
        <v>401.18492474942411</v>
      </c>
      <c r="AI41" s="102">
        <f t="shared" si="63"/>
        <v>421.91845140454546</v>
      </c>
      <c r="AJ41" s="102">
        <f t="shared" si="63"/>
        <v>443.72350169138633</v>
      </c>
      <c r="AK41" s="102">
        <f t="shared" si="63"/>
        <v>466.65545272511054</v>
      </c>
      <c r="AL41" s="102">
        <f t="shared" si="63"/>
        <v>490.77254355018817</v>
      </c>
      <c r="AM41" s="102">
        <f t="shared" si="63"/>
        <v>516.13602304696883</v>
      </c>
      <c r="AN41" s="102">
        <f t="shared" si="63"/>
        <v>542.81030548217393</v>
      </c>
      <c r="AO41" s="102">
        <f t="shared" si="63"/>
        <v>570.86313409835032</v>
      </c>
      <c r="AP41" s="102">
        <f t="shared" si="63"/>
        <v>-9.8623916398667307E-14</v>
      </c>
      <c r="AQ41" s="102"/>
      <c r="AR41" s="102"/>
      <c r="AS41" s="102"/>
      <c r="AT41" s="102"/>
      <c r="AU41" s="102"/>
      <c r="AV41" s="102"/>
      <c r="AW41" s="102"/>
      <c r="AX41" s="102"/>
      <c r="AY41" s="102"/>
      <c r="AZ41" s="102"/>
      <c r="BA41" s="102"/>
      <c r="BB41" s="102"/>
      <c r="BC41" s="102"/>
      <c r="BD41" s="102"/>
      <c r="BE41" s="102"/>
      <c r="BF41" s="102"/>
      <c r="BG41" s="102"/>
      <c r="BH41" s="102"/>
      <c r="BI41" s="102"/>
    </row>
    <row r="42" spans="1:61" s="17" customFormat="1" hidden="1" outlineLevel="1" x14ac:dyDescent="0.25">
      <c r="A42" s="16" t="str">
        <f t="shared" si="62"/>
        <v>Interest</v>
      </c>
      <c r="B42" s="101">
        <f t="shared" si="11"/>
        <v>3005.3081397142282</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f>+AA39*(AA$9/2)</f>
        <v>318.4254171428571</v>
      </c>
      <c r="AB42" s="102">
        <f>+AA47*$AA$9/2</f>
        <v>311.23174974662805</v>
      </c>
      <c r="AC42" s="102">
        <f t="shared" ref="AC42:AP42" si="64">+AB47*$AA$9/2</f>
        <v>296.28909563176916</v>
      </c>
      <c r="AD42" s="102">
        <f t="shared" si="64"/>
        <v>280.57419436035968</v>
      </c>
      <c r="AE42" s="102">
        <f t="shared" si="64"/>
        <v>264.04713564161625</v>
      </c>
      <c r="AF42" s="102">
        <f t="shared" si="64"/>
        <v>246.66594659210367</v>
      </c>
      <c r="AG42" s="102">
        <f t="shared" si="64"/>
        <v>228.38648513945716</v>
      </c>
      <c r="AH42" s="102">
        <f t="shared" si="64"/>
        <v>209.16232791713185</v>
      </c>
      <c r="AI42" s="102">
        <f t="shared" si="64"/>
        <v>188.94465236547174</v>
      </c>
      <c r="AJ42" s="102">
        <f t="shared" si="64"/>
        <v>167.68211273967736</v>
      </c>
      <c r="AK42" s="102">
        <f t="shared" si="64"/>
        <v>145.32070970977495</v>
      </c>
      <c r="AL42" s="102">
        <f t="shared" si="64"/>
        <v>121.80365322141824</v>
      </c>
      <c r="AM42" s="102">
        <f t="shared" si="64"/>
        <v>97.071218269237448</v>
      </c>
      <c r="AN42" s="102">
        <f t="shared" si="64"/>
        <v>71.060593216450613</v>
      </c>
      <c r="AO42" s="102">
        <f t="shared" si="64"/>
        <v>43.705720275523021</v>
      </c>
      <c r="AP42" s="102">
        <f t="shared" si="64"/>
        <v>14.937127744751852</v>
      </c>
      <c r="AQ42" s="102"/>
      <c r="AR42" s="102"/>
      <c r="AS42" s="102"/>
      <c r="AT42" s="102"/>
      <c r="AU42" s="102"/>
      <c r="AV42" s="102"/>
      <c r="AW42" s="102"/>
      <c r="AX42" s="102"/>
      <c r="AY42" s="102"/>
      <c r="AZ42" s="102"/>
      <c r="BA42" s="102"/>
      <c r="BB42" s="102"/>
      <c r="BC42" s="102"/>
      <c r="BD42" s="102"/>
      <c r="BE42" s="102"/>
      <c r="BF42" s="102"/>
      <c r="BG42" s="102"/>
      <c r="BH42" s="102"/>
      <c r="BI42" s="102"/>
    </row>
    <row r="43" spans="1:61" s="17" customFormat="1" hidden="1" outlineLevel="1" x14ac:dyDescent="0.25">
      <c r="A43" s="16" t="str">
        <f t="shared" si="62"/>
        <v>Interest</v>
      </c>
      <c r="B43" s="101">
        <f t="shared" si="11"/>
        <v>2525.6644550181345</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f>+AB46*$AA$9/2</f>
        <v>303.85453695445102</v>
      </c>
      <c r="AC43" s="102">
        <f t="shared" ref="AC43:AP43" si="65">+AC46*$AA$9/2</f>
        <v>288.53062315451632</v>
      </c>
      <c r="AD43" s="102">
        <f t="shared" si="65"/>
        <v>272.41475842215277</v>
      </c>
      <c r="AE43" s="102">
        <f t="shared" si="65"/>
        <v>255.46601416120905</v>
      </c>
      <c r="AF43" s="102">
        <f t="shared" si="65"/>
        <v>237.64134655612514</v>
      </c>
      <c r="AG43" s="102">
        <f t="shared" si="65"/>
        <v>218.89548725586599</v>
      </c>
      <c r="AH43" s="102">
        <f t="shared" si="65"/>
        <v>199.18082840832119</v>
      </c>
      <c r="AI43" s="102">
        <f t="shared" si="65"/>
        <v>178.44730175319984</v>
      </c>
      <c r="AJ43" s="102">
        <f t="shared" si="65"/>
        <v>156.642251466359</v>
      </c>
      <c r="AK43" s="102">
        <f t="shared" si="65"/>
        <v>133.71030043263474</v>
      </c>
      <c r="AL43" s="102">
        <f t="shared" si="65"/>
        <v>109.59320960755713</v>
      </c>
      <c r="AM43" s="102">
        <f t="shared" si="65"/>
        <v>84.229730110776444</v>
      </c>
      <c r="AN43" s="102">
        <f t="shared" si="65"/>
        <v>57.55544767557133</v>
      </c>
      <c r="AO43" s="102">
        <f t="shared" si="65"/>
        <v>29.502619059394956</v>
      </c>
      <c r="AP43" s="102">
        <f t="shared" si="65"/>
        <v>9.8623916398667307E-14</v>
      </c>
      <c r="AQ43" s="102"/>
      <c r="AR43" s="102"/>
      <c r="AS43" s="102"/>
      <c r="AT43" s="102"/>
      <c r="AU43" s="102"/>
      <c r="AV43" s="102"/>
      <c r="AW43" s="102"/>
      <c r="AX43" s="102"/>
      <c r="AY43" s="102"/>
      <c r="AZ43" s="102"/>
      <c r="BA43" s="102"/>
      <c r="BB43" s="102"/>
      <c r="BC43" s="102"/>
      <c r="BD43" s="102"/>
      <c r="BE43" s="102"/>
      <c r="BF43" s="102"/>
      <c r="BG43" s="102"/>
      <c r="BH43" s="102"/>
      <c r="BI43" s="102"/>
    </row>
    <row r="44" spans="1:61" s="17" customFormat="1" hidden="1" outlineLevel="1" x14ac:dyDescent="0.25">
      <c r="A44" s="16" t="str">
        <f t="shared" si="62"/>
        <v xml:space="preserve">Debt Servicing </v>
      </c>
      <c r="B44" s="101">
        <f t="shared" si="11"/>
        <v>9605.8520505239248</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f>-PMT($AA$9/2,$AA$10*2,AA39)</f>
        <v>600.3657531577453</v>
      </c>
      <c r="AB44" s="102">
        <f t="shared" ref="AB44:AP44" si="66">+AA44</f>
        <v>600.3657531577453</v>
      </c>
      <c r="AC44" s="102">
        <f t="shared" si="66"/>
        <v>600.3657531577453</v>
      </c>
      <c r="AD44" s="102">
        <f t="shared" si="66"/>
        <v>600.3657531577453</v>
      </c>
      <c r="AE44" s="102">
        <f t="shared" si="66"/>
        <v>600.3657531577453</v>
      </c>
      <c r="AF44" s="102">
        <f t="shared" si="66"/>
        <v>600.3657531577453</v>
      </c>
      <c r="AG44" s="102">
        <f t="shared" si="66"/>
        <v>600.3657531577453</v>
      </c>
      <c r="AH44" s="102">
        <f t="shared" si="66"/>
        <v>600.3657531577453</v>
      </c>
      <c r="AI44" s="102">
        <f t="shared" si="66"/>
        <v>600.3657531577453</v>
      </c>
      <c r="AJ44" s="102">
        <f t="shared" si="66"/>
        <v>600.3657531577453</v>
      </c>
      <c r="AK44" s="102">
        <f t="shared" si="66"/>
        <v>600.3657531577453</v>
      </c>
      <c r="AL44" s="102">
        <f t="shared" si="66"/>
        <v>600.3657531577453</v>
      </c>
      <c r="AM44" s="102">
        <f t="shared" si="66"/>
        <v>600.3657531577453</v>
      </c>
      <c r="AN44" s="102">
        <f t="shared" si="66"/>
        <v>600.3657531577453</v>
      </c>
      <c r="AO44" s="102">
        <f t="shared" si="66"/>
        <v>600.3657531577453</v>
      </c>
      <c r="AP44" s="102">
        <f t="shared" si="66"/>
        <v>600.3657531577453</v>
      </c>
      <c r="AQ44" s="102"/>
      <c r="AR44" s="102"/>
      <c r="AS44" s="102"/>
      <c r="AT44" s="102"/>
      <c r="AU44" s="102"/>
      <c r="AV44" s="102"/>
      <c r="AW44" s="102"/>
      <c r="AX44" s="102"/>
      <c r="AY44" s="102"/>
      <c r="AZ44" s="102"/>
      <c r="BA44" s="102"/>
      <c r="BB44" s="102"/>
      <c r="BC44" s="102"/>
      <c r="BD44" s="102"/>
      <c r="BE44" s="102"/>
      <c r="BF44" s="102"/>
      <c r="BG44" s="102"/>
      <c r="BH44" s="102"/>
      <c r="BI44" s="102"/>
    </row>
    <row r="45" spans="1:61" s="17" customFormat="1" hidden="1" outlineLevel="1" x14ac:dyDescent="0.25">
      <c r="A45" s="16" t="str">
        <f t="shared" si="62"/>
        <v xml:space="preserve">Debt Servicing </v>
      </c>
      <c r="B45" s="101">
        <f t="shared" si="11"/>
        <v>8405.1205442084356</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f t="shared" ref="AB45:AO45" si="67">+AB44</f>
        <v>600.3657531577453</v>
      </c>
      <c r="AC45" s="102">
        <f t="shared" si="67"/>
        <v>600.3657531577453</v>
      </c>
      <c r="AD45" s="102">
        <f t="shared" si="67"/>
        <v>600.3657531577453</v>
      </c>
      <c r="AE45" s="102">
        <f t="shared" si="67"/>
        <v>600.3657531577453</v>
      </c>
      <c r="AF45" s="102">
        <f t="shared" si="67"/>
        <v>600.3657531577453</v>
      </c>
      <c r="AG45" s="102">
        <f t="shared" si="67"/>
        <v>600.3657531577453</v>
      </c>
      <c r="AH45" s="102">
        <f t="shared" si="67"/>
        <v>600.3657531577453</v>
      </c>
      <c r="AI45" s="102">
        <f t="shared" si="67"/>
        <v>600.3657531577453</v>
      </c>
      <c r="AJ45" s="102">
        <f t="shared" si="67"/>
        <v>600.3657531577453</v>
      </c>
      <c r="AK45" s="102">
        <f t="shared" si="67"/>
        <v>600.3657531577453</v>
      </c>
      <c r="AL45" s="102">
        <f t="shared" si="67"/>
        <v>600.3657531577453</v>
      </c>
      <c r="AM45" s="102">
        <f t="shared" si="67"/>
        <v>600.3657531577453</v>
      </c>
      <c r="AN45" s="102">
        <f t="shared" si="67"/>
        <v>600.3657531577453</v>
      </c>
      <c r="AO45" s="102">
        <f t="shared" si="67"/>
        <v>600.3657531577453</v>
      </c>
      <c r="AP45" s="102"/>
      <c r="AQ45" s="102"/>
      <c r="AR45" s="102"/>
      <c r="AS45" s="102"/>
      <c r="AT45" s="102"/>
      <c r="AU45" s="102"/>
      <c r="AV45" s="102"/>
      <c r="AW45" s="102"/>
      <c r="AX45" s="102"/>
      <c r="AY45" s="102"/>
      <c r="AZ45" s="102"/>
      <c r="BA45" s="102"/>
      <c r="BB45" s="102"/>
      <c r="BC45" s="102"/>
      <c r="BD45" s="102"/>
      <c r="BE45" s="102"/>
      <c r="BF45" s="102"/>
      <c r="BG45" s="102"/>
      <c r="BH45" s="102"/>
      <c r="BI45" s="102"/>
    </row>
    <row r="46" spans="1:61" s="17" customFormat="1" hidden="1" outlineLevel="1" x14ac:dyDescent="0.25">
      <c r="A46" s="16" t="str">
        <f t="shared" si="62"/>
        <v>Balance mid year</v>
      </c>
      <c r="B46" s="101">
        <f t="shared" si="11"/>
        <v>98987.991227111095</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v>0</v>
      </c>
      <c r="AB46" s="102">
        <f t="shared" ref="AB46:AP46" si="68">+AA47-AB40</f>
        <v>11908.925660573994</v>
      </c>
      <c r="AC46" s="102">
        <f t="shared" si="68"/>
        <v>11308.337786844722</v>
      </c>
      <c r="AD46" s="102">
        <f t="shared" si="68"/>
        <v>10676.711098044108</v>
      </c>
      <c r="AE46" s="102">
        <f t="shared" si="68"/>
        <v>10012.441485792388</v>
      </c>
      <c r="AF46" s="102">
        <f t="shared" si="68"/>
        <v>9313.8419402302097</v>
      </c>
      <c r="AG46" s="102">
        <f t="shared" si="68"/>
        <v>8579.1382656103015</v>
      </c>
      <c r="AH46" s="102">
        <f t="shared" si="68"/>
        <v>7806.4645744678091</v>
      </c>
      <c r="AI46" s="102">
        <f t="shared" si="68"/>
        <v>6993.8585489261113</v>
      </c>
      <c r="AJ46" s="102">
        <f t="shared" si="68"/>
        <v>6139.2564571034982</v>
      </c>
      <c r="AK46" s="102">
        <f t="shared" si="68"/>
        <v>5240.4879119641409</v>
      </c>
      <c r="AL46" s="102">
        <f t="shared" si="68"/>
        <v>4295.2703593027036</v>
      </c>
      <c r="AM46" s="102">
        <f t="shared" si="68"/>
        <v>3301.2032808640079</v>
      </c>
      <c r="AN46" s="102">
        <f t="shared" si="68"/>
        <v>2255.7620978757441</v>
      </c>
      <c r="AO46" s="102">
        <f t="shared" si="68"/>
        <v>1156.2917595113477</v>
      </c>
      <c r="AP46" s="102">
        <f t="shared" si="68"/>
        <v>3.865352482534945E-12</v>
      </c>
      <c r="AQ46" s="102"/>
      <c r="AR46" s="102"/>
      <c r="AS46" s="102"/>
      <c r="AT46" s="102"/>
      <c r="AU46" s="102"/>
      <c r="AV46" s="102"/>
      <c r="AW46" s="102"/>
      <c r="AX46" s="102"/>
      <c r="AY46" s="102"/>
      <c r="AZ46" s="102"/>
      <c r="BA46" s="102"/>
      <c r="BB46" s="102"/>
      <c r="BC46" s="102"/>
      <c r="BD46" s="102"/>
      <c r="BE46" s="102"/>
      <c r="BF46" s="102"/>
      <c r="BG46" s="102"/>
      <c r="BH46" s="102"/>
      <c r="BI46" s="102"/>
    </row>
    <row r="47" spans="1:61" s="17" customFormat="1" hidden="1" outlineLevel="1" x14ac:dyDescent="0.25">
      <c r="A47" s="16" t="str">
        <f t="shared" si="62"/>
        <v>Balance</v>
      </c>
      <c r="B47" s="101">
        <f t="shared" si="11"/>
        <v>105306.5948019059</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f>+AA39-AA40</f>
        <v>12198.059663985112</v>
      </c>
      <c r="AB47" s="102">
        <f t="shared" ref="AB47:AP47" si="69">+AB46-AB41</f>
        <v>11612.414444370699</v>
      </c>
      <c r="AC47" s="102">
        <f t="shared" si="69"/>
        <v>10996.502656841494</v>
      </c>
      <c r="AD47" s="102">
        <f t="shared" si="69"/>
        <v>10348.760103308516</v>
      </c>
      <c r="AE47" s="102">
        <f t="shared" si="69"/>
        <v>9667.5417467958505</v>
      </c>
      <c r="AF47" s="102">
        <f t="shared" si="69"/>
        <v>8951.1175336285887</v>
      </c>
      <c r="AG47" s="102">
        <f t="shared" si="69"/>
        <v>8197.6679997084229</v>
      </c>
      <c r="AH47" s="102">
        <f t="shared" si="69"/>
        <v>7405.2796497183854</v>
      </c>
      <c r="AI47" s="102">
        <f t="shared" si="69"/>
        <v>6571.9400975215658</v>
      </c>
      <c r="AJ47" s="102">
        <f t="shared" si="69"/>
        <v>5695.5329554121117</v>
      </c>
      <c r="AK47" s="102">
        <f t="shared" si="69"/>
        <v>4773.8324592390309</v>
      </c>
      <c r="AL47" s="102">
        <f t="shared" si="69"/>
        <v>3804.4978157525156</v>
      </c>
      <c r="AM47" s="102">
        <f t="shared" si="69"/>
        <v>2785.0672578170388</v>
      </c>
      <c r="AN47" s="102">
        <f t="shared" si="69"/>
        <v>1712.95179239357</v>
      </c>
      <c r="AO47" s="102">
        <f t="shared" si="69"/>
        <v>585.42862541299735</v>
      </c>
      <c r="AP47" s="102">
        <f t="shared" si="69"/>
        <v>3.9639763989336121E-12</v>
      </c>
      <c r="AQ47" s="102"/>
      <c r="AR47" s="102"/>
      <c r="AS47" s="102"/>
      <c r="AT47" s="102"/>
      <c r="AU47" s="102"/>
      <c r="AV47" s="102"/>
      <c r="AW47" s="102"/>
      <c r="AX47" s="102"/>
      <c r="AY47" s="102"/>
      <c r="AZ47" s="102"/>
      <c r="BA47" s="102"/>
      <c r="BB47" s="102"/>
      <c r="BC47" s="102"/>
      <c r="BD47" s="102"/>
      <c r="BE47" s="102"/>
      <c r="BF47" s="102"/>
      <c r="BG47" s="102"/>
      <c r="BH47" s="102"/>
      <c r="BI47" s="102"/>
    </row>
    <row r="48" spans="1:61" s="17" customFormat="1" hidden="1" outlineLevel="1" x14ac:dyDescent="0.25">
      <c r="A48" s="16"/>
      <c r="B48" s="10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row>
    <row r="49" spans="1:61" hidden="1" outlineLevel="1" x14ac:dyDescent="0.25">
      <c r="A49" s="20" t="str">
        <f t="shared" ref="A49:A57" si="70">A39</f>
        <v>Debt Forecasted</v>
      </c>
      <c r="B49" s="101">
        <f t="shared" ref="B49:B133" si="71">SUM(C49:BB49)</f>
        <v>3359.2000000000003</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f>+AB$8</f>
        <v>3359.2000000000003</v>
      </c>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row>
    <row r="50" spans="1:61" s="17" customFormat="1" hidden="1" outlineLevel="1" x14ac:dyDescent="0.25">
      <c r="A50" s="16" t="str">
        <f t="shared" si="70"/>
        <v>Principal</v>
      </c>
      <c r="B50" s="101">
        <f t="shared" si="71"/>
        <v>1776.627378569993</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f>+AB54-AB52</f>
        <v>75.830206679154145</v>
      </c>
      <c r="AC50" s="102">
        <f>+AC54-AC52</f>
        <v>77.768681334710038</v>
      </c>
      <c r="AD50" s="102">
        <f t="shared" ref="AD50:AQ51" si="72">+AD54-AD52</f>
        <v>81.795559170171927</v>
      </c>
      <c r="AE50" s="102">
        <f t="shared" si="72"/>
        <v>86.030949543373055</v>
      </c>
      <c r="AF50" s="102">
        <f t="shared" si="72"/>
        <v>90.485649275118746</v>
      </c>
      <c r="AG50" s="102">
        <f t="shared" si="72"/>
        <v>95.171014247749767</v>
      </c>
      <c r="AH50" s="102">
        <f t="shared" si="72"/>
        <v>100.09898835346011</v>
      </c>
      <c r="AI50" s="102">
        <f t="shared" si="72"/>
        <v>105.28213394156461</v>
      </c>
      <c r="AJ50" s="102">
        <f t="shared" si="72"/>
        <v>110.73366384233192</v>
      </c>
      <c r="AK50" s="102">
        <f t="shared" si="72"/>
        <v>116.46747504901819</v>
      </c>
      <c r="AL50" s="102">
        <f t="shared" si="72"/>
        <v>122.49818414396304</v>
      </c>
      <c r="AM50" s="102">
        <f t="shared" si="72"/>
        <v>128.84116455905578</v>
      </c>
      <c r="AN50" s="102">
        <f t="shared" si="72"/>
        <v>135.51258576555622</v>
      </c>
      <c r="AO50" s="102">
        <f t="shared" si="72"/>
        <v>142.52945449317204</v>
      </c>
      <c r="AP50" s="102">
        <f t="shared" si="72"/>
        <v>149.90965808346826</v>
      </c>
      <c r="AQ50" s="102">
        <f t="shared" si="72"/>
        <v>157.67201008812489</v>
      </c>
      <c r="AR50" s="102"/>
      <c r="AS50" s="102"/>
      <c r="AT50" s="102"/>
      <c r="AU50" s="102"/>
      <c r="AV50" s="102"/>
      <c r="AW50" s="102"/>
      <c r="AX50" s="102"/>
      <c r="AY50" s="102"/>
      <c r="AZ50" s="102"/>
      <c r="BA50" s="102"/>
      <c r="BB50" s="102"/>
      <c r="BC50" s="102"/>
      <c r="BD50" s="102"/>
      <c r="BE50" s="102"/>
      <c r="BF50" s="102"/>
      <c r="BG50" s="102"/>
      <c r="BH50" s="102"/>
      <c r="BI50" s="102"/>
    </row>
    <row r="51" spans="1:61" s="17" customFormat="1" hidden="1" outlineLevel="1" x14ac:dyDescent="0.25">
      <c r="A51" s="16" t="str">
        <f t="shared" si="70"/>
        <v>Principal</v>
      </c>
      <c r="B51" s="101">
        <f t="shared" si="71"/>
        <v>1582.5726214300055</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f>+AC55-AC53</f>
        <v>79.756709910198268</v>
      </c>
      <c r="AD51" s="102">
        <f t="shared" si="72"/>
        <v>83.886528261938736</v>
      </c>
      <c r="AE51" s="102">
        <f t="shared" si="72"/>
        <v>88.230189431889428</v>
      </c>
      <c r="AF51" s="102">
        <f t="shared" si="72"/>
        <v>92.798766243841925</v>
      </c>
      <c r="AG51" s="102">
        <f t="shared" si="72"/>
        <v>97.603904874612937</v>
      </c>
      <c r="AH51" s="102">
        <f t="shared" si="72"/>
        <v>102.65785454237832</v>
      </c>
      <c r="AI51" s="102">
        <f t="shared" si="72"/>
        <v>107.97349873227495</v>
      </c>
      <c r="AJ51" s="102">
        <f t="shared" si="72"/>
        <v>113.56438803887053</v>
      </c>
      <c r="AK51" s="102">
        <f t="shared" si="72"/>
        <v>119.44477470922305</v>
      </c>
      <c r="AL51" s="102">
        <f t="shared" si="72"/>
        <v>125.62964897458664</v>
      </c>
      <c r="AM51" s="102">
        <f t="shared" si="72"/>
        <v>132.13477726338056</v>
      </c>
      <c r="AN51" s="102">
        <f t="shared" si="72"/>
        <v>138.97674239283322</v>
      </c>
      <c r="AO51" s="102">
        <f t="shared" si="72"/>
        <v>146.17298584175762</v>
      </c>
      <c r="AP51" s="102">
        <f t="shared" si="72"/>
        <v>153.74185221221956</v>
      </c>
      <c r="AQ51" s="102">
        <f t="shared" si="72"/>
        <v>-5.3038464540934777E-14</v>
      </c>
      <c r="AR51" s="102"/>
      <c r="AS51" s="102"/>
      <c r="AT51" s="102"/>
      <c r="AU51" s="102"/>
      <c r="AV51" s="102"/>
      <c r="AW51" s="102"/>
      <c r="AX51" s="102"/>
      <c r="AY51" s="102"/>
      <c r="AZ51" s="102"/>
      <c r="BA51" s="102"/>
      <c r="BB51" s="102"/>
      <c r="BC51" s="102"/>
      <c r="BD51" s="102"/>
      <c r="BE51" s="102"/>
      <c r="BF51" s="102"/>
      <c r="BG51" s="102"/>
      <c r="BH51" s="102"/>
      <c r="BI51" s="102"/>
    </row>
    <row r="52" spans="1:61" s="17" customFormat="1" hidden="1" outlineLevel="1" x14ac:dyDescent="0.25">
      <c r="A52" s="16" t="str">
        <f t="shared" si="70"/>
        <v>Interest</v>
      </c>
      <c r="B52" s="101">
        <f t="shared" si="71"/>
        <v>810.61479732504483</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f>+AB49*(AB$9/2)</f>
        <v>85.872429314285711</v>
      </c>
      <c r="AC52" s="102">
        <f>+AB57*AB$9/2</f>
        <v>83.933954658729817</v>
      </c>
      <c r="AD52" s="102">
        <f>+AC57*AB$9/2</f>
        <v>79.907076823267928</v>
      </c>
      <c r="AE52" s="102">
        <f>+AD57*AB$9/2</f>
        <v>75.671686450066801</v>
      </c>
      <c r="AF52" s="102">
        <f>+AE57*AB$9/2</f>
        <v>71.21698671832111</v>
      </c>
      <c r="AG52" s="102">
        <f>+AF57*AB$9/2</f>
        <v>66.531621745690089</v>
      </c>
      <c r="AH52" s="102">
        <f>+AG57*AB$9/2</f>
        <v>61.603647639979741</v>
      </c>
      <c r="AI52" s="102">
        <f>+AH57*AB$9/2</f>
        <v>56.420502051875246</v>
      </c>
      <c r="AJ52" s="102">
        <f>+AI57*AB$9/2</f>
        <v>50.968972151107934</v>
      </c>
      <c r="AK52" s="102">
        <f>+AJ57*AB$9/2</f>
        <v>45.235160944421658</v>
      </c>
      <c r="AL52" s="102">
        <f>+AK57*AB$9/2</f>
        <v>39.204451849476818</v>
      </c>
      <c r="AM52" s="102">
        <f>+AL57*AB$9/2</f>
        <v>32.861471434384079</v>
      </c>
      <c r="AN52" s="102">
        <f>+AM57*AB$9/2</f>
        <v>26.190050227883624</v>
      </c>
      <c r="AO52" s="102">
        <f>+AN57*AB$9/2</f>
        <v>19.173181500267805</v>
      </c>
      <c r="AP52" s="102">
        <f>+AO57*AB$9/2</f>
        <v>11.792977909971594</v>
      </c>
      <c r="AQ52" s="102">
        <f>+AP57*AB$9/2</f>
        <v>4.030625905314964</v>
      </c>
      <c r="AR52" s="102"/>
      <c r="AS52" s="102"/>
      <c r="AT52" s="102"/>
      <c r="AU52" s="102"/>
      <c r="AV52" s="102"/>
      <c r="AW52" s="102"/>
      <c r="AX52" s="102"/>
      <c r="AY52" s="102"/>
      <c r="AZ52" s="102"/>
      <c r="BA52" s="102"/>
      <c r="BB52" s="102"/>
      <c r="BC52" s="102"/>
      <c r="BD52" s="102"/>
      <c r="BE52" s="102"/>
      <c r="BF52" s="102"/>
      <c r="BG52" s="102"/>
      <c r="BH52" s="102"/>
      <c r="BI52" s="102"/>
    </row>
    <row r="53" spans="1:61" s="17" customFormat="1" hidden="1" outlineLevel="1" x14ac:dyDescent="0.25">
      <c r="A53" s="16" t="str">
        <f t="shared" si="70"/>
        <v>Interest</v>
      </c>
      <c r="B53" s="101">
        <f t="shared" si="71"/>
        <v>681.26428247815227</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f>+AC56*AB$9/2</f>
        <v>81.945926083241588</v>
      </c>
      <c r="AD53" s="102">
        <f>+AD56*AB$9/2</f>
        <v>77.81610773150112</v>
      </c>
      <c r="AE53" s="102">
        <f>+AE56*AB$9/2</f>
        <v>73.472446561550427</v>
      </c>
      <c r="AF53" s="102">
        <f>+AF56*AB$9/2</f>
        <v>68.903869749597931</v>
      </c>
      <c r="AG53" s="102">
        <f>+AG56*AB$9/2</f>
        <v>64.098731118826919</v>
      </c>
      <c r="AH53" s="102">
        <f>+AH56*AB$9/2</f>
        <v>59.044781451061539</v>
      </c>
      <c r="AI53" s="102">
        <f>+AI56*AB$9/2</f>
        <v>53.729137261164908</v>
      </c>
      <c r="AJ53" s="102">
        <f>+AJ56*AB$9/2</f>
        <v>48.138247954569316</v>
      </c>
      <c r="AK53" s="102">
        <f>+AK56*AB$9/2</f>
        <v>42.257861284216801</v>
      </c>
      <c r="AL53" s="102">
        <f>+AL56*AB$9/2</f>
        <v>36.072987018853212</v>
      </c>
      <c r="AM53" s="102">
        <f>+AM56*AB$9/2</f>
        <v>29.567858730059303</v>
      </c>
      <c r="AN53" s="102">
        <f>+AN56*AB$9/2</f>
        <v>22.725893600606653</v>
      </c>
      <c r="AO53" s="102">
        <f>+AO56*AB$9/2</f>
        <v>15.529650151682244</v>
      </c>
      <c r="AP53" s="102">
        <f>+AP56*AB$9/2</f>
        <v>7.9607837812202931</v>
      </c>
      <c r="AQ53" s="102">
        <f>+AQ56*AB$9/2</f>
        <v>5.3038464540934777E-14</v>
      </c>
      <c r="AR53" s="102"/>
      <c r="AS53" s="102"/>
      <c r="AT53" s="102"/>
      <c r="AU53" s="102"/>
      <c r="AV53" s="102"/>
      <c r="AW53" s="102"/>
      <c r="AX53" s="102"/>
      <c r="AY53" s="102"/>
      <c r="AZ53" s="102"/>
      <c r="BA53" s="102"/>
      <c r="BB53" s="102"/>
      <c r="BC53" s="102"/>
      <c r="BD53" s="102"/>
      <c r="BE53" s="102"/>
      <c r="BF53" s="102"/>
      <c r="BG53" s="102"/>
      <c r="BH53" s="102"/>
      <c r="BI53" s="102"/>
    </row>
    <row r="54" spans="1:61" s="17" customFormat="1" hidden="1" outlineLevel="1" x14ac:dyDescent="0.25">
      <c r="A54" s="16" t="str">
        <f t="shared" si="70"/>
        <v xml:space="preserve">Debt Servicing </v>
      </c>
      <c r="B54" s="101">
        <f t="shared" si="71"/>
        <v>2587.2421758950372</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f>-PMT($AB$9/2,$AB$10*2,AB49)</f>
        <v>161.70263599343986</v>
      </c>
      <c r="AC54" s="102">
        <f t="shared" ref="AC54:AQ54" si="73">+AB54</f>
        <v>161.70263599343986</v>
      </c>
      <c r="AD54" s="102">
        <f t="shared" si="73"/>
        <v>161.70263599343986</v>
      </c>
      <c r="AE54" s="102">
        <f t="shared" si="73"/>
        <v>161.70263599343986</v>
      </c>
      <c r="AF54" s="102">
        <f t="shared" si="73"/>
        <v>161.70263599343986</v>
      </c>
      <c r="AG54" s="102">
        <f t="shared" si="73"/>
        <v>161.70263599343986</v>
      </c>
      <c r="AH54" s="102">
        <f t="shared" si="73"/>
        <v>161.70263599343986</v>
      </c>
      <c r="AI54" s="102">
        <f t="shared" si="73"/>
        <v>161.70263599343986</v>
      </c>
      <c r="AJ54" s="102">
        <f t="shared" si="73"/>
        <v>161.70263599343986</v>
      </c>
      <c r="AK54" s="102">
        <f t="shared" si="73"/>
        <v>161.70263599343986</v>
      </c>
      <c r="AL54" s="102">
        <f t="shared" si="73"/>
        <v>161.70263599343986</v>
      </c>
      <c r="AM54" s="102">
        <f t="shared" si="73"/>
        <v>161.70263599343986</v>
      </c>
      <c r="AN54" s="102">
        <f t="shared" si="73"/>
        <v>161.70263599343986</v>
      </c>
      <c r="AO54" s="102">
        <f t="shared" si="73"/>
        <v>161.70263599343986</v>
      </c>
      <c r="AP54" s="102">
        <f t="shared" si="73"/>
        <v>161.70263599343986</v>
      </c>
      <c r="AQ54" s="102">
        <f t="shared" si="73"/>
        <v>161.70263599343986</v>
      </c>
      <c r="AR54" s="102"/>
      <c r="AS54" s="102"/>
      <c r="AT54" s="102"/>
      <c r="AU54" s="102"/>
      <c r="AV54" s="102"/>
      <c r="AW54" s="102"/>
      <c r="AX54" s="102"/>
      <c r="AY54" s="102"/>
      <c r="AZ54" s="102"/>
      <c r="BA54" s="102"/>
      <c r="BB54" s="102"/>
      <c r="BC54" s="102"/>
      <c r="BD54" s="102"/>
      <c r="BE54" s="102"/>
      <c r="BF54" s="102"/>
      <c r="BG54" s="102"/>
      <c r="BH54" s="102"/>
      <c r="BI54" s="102"/>
    </row>
    <row r="55" spans="1:61" s="17" customFormat="1" hidden="1" outlineLevel="1" x14ac:dyDescent="0.25">
      <c r="A55" s="16" t="str">
        <f t="shared" si="70"/>
        <v xml:space="preserve">Debt Servicing </v>
      </c>
      <c r="B55" s="101">
        <f t="shared" si="71"/>
        <v>2263.8369039081576</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f t="shared" ref="AC55:AP55" si="74">+AC54</f>
        <v>161.70263599343986</v>
      </c>
      <c r="AD55" s="102">
        <f t="shared" si="74"/>
        <v>161.70263599343986</v>
      </c>
      <c r="AE55" s="102">
        <f t="shared" si="74"/>
        <v>161.70263599343986</v>
      </c>
      <c r="AF55" s="102">
        <f t="shared" si="74"/>
        <v>161.70263599343986</v>
      </c>
      <c r="AG55" s="102">
        <f t="shared" si="74"/>
        <v>161.70263599343986</v>
      </c>
      <c r="AH55" s="102">
        <f t="shared" si="74"/>
        <v>161.70263599343986</v>
      </c>
      <c r="AI55" s="102">
        <f t="shared" si="74"/>
        <v>161.70263599343986</v>
      </c>
      <c r="AJ55" s="102">
        <f t="shared" si="74"/>
        <v>161.70263599343986</v>
      </c>
      <c r="AK55" s="102">
        <f t="shared" si="74"/>
        <v>161.70263599343986</v>
      </c>
      <c r="AL55" s="102">
        <f t="shared" si="74"/>
        <v>161.70263599343986</v>
      </c>
      <c r="AM55" s="102">
        <f t="shared" si="74"/>
        <v>161.70263599343986</v>
      </c>
      <c r="AN55" s="102">
        <f t="shared" si="74"/>
        <v>161.70263599343986</v>
      </c>
      <c r="AO55" s="102">
        <f t="shared" si="74"/>
        <v>161.70263599343986</v>
      </c>
      <c r="AP55" s="102">
        <f t="shared" si="74"/>
        <v>161.70263599343986</v>
      </c>
      <c r="AQ55" s="102"/>
      <c r="AR55" s="102"/>
      <c r="AS55" s="102"/>
      <c r="AT55" s="102"/>
      <c r="AU55" s="102"/>
      <c r="AV55" s="102"/>
      <c r="AW55" s="102"/>
      <c r="AX55" s="102"/>
      <c r="AY55" s="102"/>
      <c r="AZ55" s="102"/>
      <c r="BA55" s="102"/>
      <c r="BB55" s="102"/>
      <c r="BC55" s="102"/>
      <c r="BD55" s="102"/>
      <c r="BE55" s="102"/>
      <c r="BF55" s="102"/>
      <c r="BG55" s="102"/>
      <c r="BH55" s="102"/>
      <c r="BI55" s="102"/>
    </row>
    <row r="56" spans="1:61" s="17" customFormat="1" hidden="1" outlineLevel="1" x14ac:dyDescent="0.25">
      <c r="A56" s="16" t="str">
        <f t="shared" si="70"/>
        <v>Balance mid year</v>
      </c>
      <c r="B56" s="101">
        <f t="shared" si="71"/>
        <v>26650.03186674602</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v>0</v>
      </c>
      <c r="AC56" s="102">
        <f t="shared" ref="AC56:AQ56" si="75">+AB57-AC50</f>
        <v>3205.6011119861359</v>
      </c>
      <c r="AD56" s="102">
        <f t="shared" si="75"/>
        <v>3044.0488429057655</v>
      </c>
      <c r="AE56" s="102">
        <f t="shared" si="75"/>
        <v>2874.1313651004539</v>
      </c>
      <c r="AF56" s="102">
        <f t="shared" si="75"/>
        <v>2695.4155263934458</v>
      </c>
      <c r="AG56" s="102">
        <f t="shared" si="75"/>
        <v>2507.4457459018545</v>
      </c>
      <c r="AH56" s="102">
        <f t="shared" si="75"/>
        <v>2309.7428526737813</v>
      </c>
      <c r="AI56" s="102">
        <f t="shared" si="75"/>
        <v>2101.8028641898386</v>
      </c>
      <c r="AJ56" s="102">
        <f t="shared" si="75"/>
        <v>1883.0957016152317</v>
      </c>
      <c r="AK56" s="102">
        <f t="shared" si="75"/>
        <v>1653.063838527343</v>
      </c>
      <c r="AL56" s="102">
        <f t="shared" si="75"/>
        <v>1411.1208796741569</v>
      </c>
      <c r="AM56" s="102">
        <f t="shared" si="75"/>
        <v>1156.6500661405144</v>
      </c>
      <c r="AN56" s="102">
        <f t="shared" si="75"/>
        <v>889.0027031115776</v>
      </c>
      <c r="AO56" s="102">
        <f t="shared" si="75"/>
        <v>607.49650622557238</v>
      </c>
      <c r="AP56" s="102">
        <f t="shared" si="75"/>
        <v>311.41386230034652</v>
      </c>
      <c r="AQ56" s="102">
        <f t="shared" si="75"/>
        <v>2.0747847884194925E-12</v>
      </c>
      <c r="AR56" s="102"/>
      <c r="AS56" s="102"/>
      <c r="AT56" s="102"/>
      <c r="AU56" s="102"/>
      <c r="AV56" s="102"/>
      <c r="AW56" s="102"/>
      <c r="AX56" s="102"/>
      <c r="AY56" s="102"/>
      <c r="AZ56" s="102"/>
      <c r="BA56" s="102"/>
      <c r="BB56" s="102"/>
      <c r="BC56" s="102"/>
      <c r="BD56" s="102"/>
      <c r="BE56" s="102"/>
      <c r="BF56" s="102"/>
      <c r="BG56" s="102"/>
      <c r="BH56" s="102"/>
      <c r="BI56" s="102"/>
    </row>
    <row r="57" spans="1:61" s="17" customFormat="1" hidden="1" outlineLevel="1" x14ac:dyDescent="0.25">
      <c r="A57" s="16" t="str">
        <f t="shared" si="70"/>
        <v>Balance</v>
      </c>
      <c r="B57" s="101">
        <f t="shared" si="71"/>
        <v>28350.829038636864</v>
      </c>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f>+AB49-AB50</f>
        <v>3283.3697933208459</v>
      </c>
      <c r="AC57" s="102">
        <f t="shared" ref="AC57:AQ57" si="76">+AC56-AC51</f>
        <v>3125.8444020759375</v>
      </c>
      <c r="AD57" s="102">
        <f t="shared" si="76"/>
        <v>2960.1623146438269</v>
      </c>
      <c r="AE57" s="102">
        <f t="shared" si="76"/>
        <v>2785.9011756685645</v>
      </c>
      <c r="AF57" s="102">
        <f t="shared" si="76"/>
        <v>2602.616760149604</v>
      </c>
      <c r="AG57" s="102">
        <f t="shared" si="76"/>
        <v>2409.8418410272416</v>
      </c>
      <c r="AH57" s="102">
        <f t="shared" si="76"/>
        <v>2207.0849981314032</v>
      </c>
      <c r="AI57" s="102">
        <f t="shared" si="76"/>
        <v>1993.8293654575637</v>
      </c>
      <c r="AJ57" s="102">
        <f t="shared" si="76"/>
        <v>1769.5313135763613</v>
      </c>
      <c r="AK57" s="102">
        <f t="shared" si="76"/>
        <v>1533.6190638181199</v>
      </c>
      <c r="AL57" s="102">
        <f t="shared" si="76"/>
        <v>1285.4912306995702</v>
      </c>
      <c r="AM57" s="102">
        <f t="shared" si="76"/>
        <v>1024.5152888771338</v>
      </c>
      <c r="AN57" s="102">
        <f t="shared" si="76"/>
        <v>750.02596071874439</v>
      </c>
      <c r="AO57" s="102">
        <f t="shared" si="76"/>
        <v>461.32352038381475</v>
      </c>
      <c r="AP57" s="102">
        <f t="shared" si="76"/>
        <v>157.67201008812697</v>
      </c>
      <c r="AQ57" s="102">
        <f t="shared" si="76"/>
        <v>2.1278232529604273E-12</v>
      </c>
      <c r="AR57" s="102"/>
      <c r="AS57" s="102"/>
      <c r="AT57" s="102"/>
      <c r="AU57" s="102"/>
      <c r="AV57" s="102"/>
      <c r="AW57" s="102"/>
      <c r="AX57" s="102"/>
      <c r="AY57" s="102"/>
      <c r="AZ57" s="102"/>
      <c r="BA57" s="102"/>
      <c r="BB57" s="102"/>
      <c r="BC57" s="102"/>
      <c r="BD57" s="102"/>
      <c r="BE57" s="102"/>
      <c r="BF57" s="102"/>
      <c r="BG57" s="102"/>
      <c r="BH57" s="102"/>
      <c r="BI57" s="102"/>
    </row>
    <row r="58" spans="1:61" s="17" customFormat="1" hidden="1" outlineLevel="1" x14ac:dyDescent="0.25">
      <c r="A58" s="16"/>
      <c r="B58" s="101">
        <f t="shared" si="71"/>
        <v>0</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row>
    <row r="59" spans="1:61" hidden="1" outlineLevel="1" x14ac:dyDescent="0.25">
      <c r="A59" s="20" t="str">
        <f t="shared" ref="A59:A67" si="77">A49</f>
        <v>Debt Forecasted</v>
      </c>
      <c r="B59" s="101">
        <f t="shared" si="71"/>
        <v>52</v>
      </c>
      <c r="C59" s="102">
        <v>0</v>
      </c>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f>+AC$8</f>
        <v>52</v>
      </c>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row>
    <row r="60" spans="1:61" s="17" customFormat="1" hidden="1" outlineLevel="1" x14ac:dyDescent="0.25">
      <c r="A60" s="16" t="str">
        <f t="shared" si="77"/>
        <v>Principal</v>
      </c>
      <c r="B60" s="101">
        <f t="shared" si="71"/>
        <v>27.499676673609443</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f>+AC64-AC62</f>
        <v>1.1667192143702432</v>
      </c>
      <c r="AD60" s="102">
        <f>+AD64-AD62</f>
        <v>1.1969889943532985</v>
      </c>
      <c r="AE60" s="102">
        <f t="shared" ref="AE60:AR61" si="78">+AE64-AE62</f>
        <v>1.2599049191484988</v>
      </c>
      <c r="AF60" s="102">
        <f t="shared" si="78"/>
        <v>1.3261278197066415</v>
      </c>
      <c r="AG60" s="102">
        <f t="shared" si="78"/>
        <v>1.3958315167055964</v>
      </c>
      <c r="AH60" s="102">
        <f t="shared" si="78"/>
        <v>1.4691989671551025</v>
      </c>
      <c r="AI60" s="102">
        <f t="shared" si="78"/>
        <v>1.5464227446190355</v>
      </c>
      <c r="AJ60" s="102">
        <f t="shared" si="78"/>
        <v>1.6277055446790345</v>
      </c>
      <c r="AK60" s="102">
        <f t="shared" si="78"/>
        <v>1.7132607169662162</v>
      </c>
      <c r="AL60" s="102">
        <f t="shared" si="78"/>
        <v>1.8033128251574482</v>
      </c>
      <c r="AM60" s="102">
        <f t="shared" si="78"/>
        <v>1.8980982364060486</v>
      </c>
      <c r="AN60" s="102">
        <f t="shared" si="78"/>
        <v>1.9978657417540364</v>
      </c>
      <c r="AO60" s="102">
        <f t="shared" si="78"/>
        <v>2.1028772091543821</v>
      </c>
      <c r="AP60" s="102">
        <f t="shared" si="78"/>
        <v>2.2134082708172991</v>
      </c>
      <c r="AQ60" s="102">
        <f t="shared" si="78"/>
        <v>2.3297490466847108</v>
      </c>
      <c r="AR60" s="102">
        <f t="shared" si="78"/>
        <v>2.4522049059318518</v>
      </c>
      <c r="AS60" s="102"/>
      <c r="AT60" s="102"/>
      <c r="AU60" s="102"/>
      <c r="AV60" s="102"/>
      <c r="AW60" s="102"/>
      <c r="AX60" s="102"/>
      <c r="AY60" s="102"/>
      <c r="AZ60" s="102"/>
      <c r="BA60" s="102"/>
      <c r="BB60" s="102"/>
      <c r="BC60" s="102"/>
      <c r="BD60" s="102"/>
      <c r="BE60" s="102"/>
      <c r="BF60" s="102"/>
      <c r="BG60" s="102"/>
      <c r="BH60" s="102"/>
      <c r="BI60" s="102"/>
    </row>
    <row r="61" spans="1:61" s="17" customFormat="1" hidden="1" outlineLevel="1" x14ac:dyDescent="0.25">
      <c r="A61" s="16" t="str">
        <f t="shared" si="77"/>
        <v>Principal</v>
      </c>
      <c r="B61" s="101">
        <f t="shared" si="71"/>
        <v>24.50032332639055</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f>+AD65-AD63</f>
        <v>1.2280441043188699</v>
      </c>
      <c r="AE61" s="102">
        <f t="shared" si="78"/>
        <v>1.2925923423369299</v>
      </c>
      <c r="AF61" s="102">
        <f t="shared" si="78"/>
        <v>1.3605333534781889</v>
      </c>
      <c r="AG61" s="102">
        <f t="shared" si="78"/>
        <v>1.4320454680862622</v>
      </c>
      <c r="AH61" s="102">
        <f t="shared" si="78"/>
        <v>1.5073163898728912</v>
      </c>
      <c r="AI61" s="102">
        <f t="shared" si="78"/>
        <v>1.5865436885992692</v>
      </c>
      <c r="AJ61" s="102">
        <f t="shared" si="78"/>
        <v>1.6699353186535961</v>
      </c>
      <c r="AK61" s="102">
        <f t="shared" si="78"/>
        <v>1.7577101648860149</v>
      </c>
      <c r="AL61" s="102">
        <f t="shared" si="78"/>
        <v>1.8500986171336276</v>
      </c>
      <c r="AM61" s="102">
        <f t="shared" si="78"/>
        <v>1.9473431749435943</v>
      </c>
      <c r="AN61" s="102">
        <f t="shared" si="78"/>
        <v>2.0496990840815821</v>
      </c>
      <c r="AO61" s="102">
        <f t="shared" si="78"/>
        <v>2.1574350064962577</v>
      </c>
      <c r="AP61" s="102">
        <f t="shared" si="78"/>
        <v>2.2708337254983371</v>
      </c>
      <c r="AQ61" s="102">
        <f t="shared" si="78"/>
        <v>2.3901928880051297</v>
      </c>
      <c r="AR61" s="102">
        <f t="shared" si="78"/>
        <v>-1.036944815727533E-16</v>
      </c>
      <c r="AS61" s="102"/>
      <c r="AT61" s="102"/>
      <c r="AU61" s="102"/>
      <c r="AV61" s="102"/>
      <c r="AW61" s="102"/>
      <c r="AX61" s="102"/>
      <c r="AY61" s="102"/>
      <c r="AZ61" s="102"/>
      <c r="BA61" s="102"/>
      <c r="BB61" s="102"/>
      <c r="BC61" s="102"/>
      <c r="BD61" s="102"/>
      <c r="BE61" s="102"/>
      <c r="BF61" s="102"/>
      <c r="BG61" s="102"/>
      <c r="BH61" s="102"/>
      <c r="BI61" s="102"/>
    </row>
    <row r="62" spans="1:61" s="17" customFormat="1" hidden="1" outlineLevel="1" x14ac:dyDescent="0.25">
      <c r="A62" s="16" t="str">
        <f t="shared" si="77"/>
        <v>Interest</v>
      </c>
      <c r="B62" s="101">
        <f t="shared" si="71"/>
        <v>12.753535899171585</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f>+AC59*(AC$9/2)</f>
        <v>1.3491065714285713</v>
      </c>
      <c r="AD62" s="102">
        <f>+AC67*AC$9/2</f>
        <v>1.3188367914455159</v>
      </c>
      <c r="AE62" s="102">
        <f>+AD67*AC$9/2</f>
        <v>1.2559208666503157</v>
      </c>
      <c r="AF62" s="102">
        <f>+AE67*AC$9/2</f>
        <v>1.1896979660921729</v>
      </c>
      <c r="AG62" s="102">
        <f>+AF67*AC$9/2</f>
        <v>1.1199942690932181</v>
      </c>
      <c r="AH62" s="102">
        <f>+AG67*AC$9/2</f>
        <v>1.046626818643712</v>
      </c>
      <c r="AI62" s="102">
        <f>+AH67*AC$9/2</f>
        <v>0.96940304117977893</v>
      </c>
      <c r="AJ62" s="102">
        <f>+AI67*AC$9/2</f>
        <v>0.88812024111977983</v>
      </c>
      <c r="AK62" s="102">
        <f>+AJ67*AC$9/2</f>
        <v>0.80256506883259837</v>
      </c>
      <c r="AL62" s="102">
        <f>+AK67*AC$9/2</f>
        <v>0.71251296064136638</v>
      </c>
      <c r="AM62" s="102">
        <f>+AL67*AC$9/2</f>
        <v>0.61772754939276586</v>
      </c>
      <c r="AN62" s="102">
        <f>+AM67*AC$9/2</f>
        <v>0.51796004404477813</v>
      </c>
      <c r="AO62" s="102">
        <f>+AN67*AC$9/2</f>
        <v>0.41294857664443252</v>
      </c>
      <c r="AP62" s="102">
        <f>+AO67*AC$9/2</f>
        <v>0.30241751498151531</v>
      </c>
      <c r="AQ62" s="102">
        <f>+AP67*AC$9/2</f>
        <v>0.18607673911410377</v>
      </c>
      <c r="AR62" s="102">
        <f>+AQ67*AC$9/2</f>
        <v>6.3620879866962465E-2</v>
      </c>
      <c r="AS62" s="102"/>
      <c r="AT62" s="102"/>
      <c r="AU62" s="102"/>
      <c r="AV62" s="102"/>
      <c r="AW62" s="102"/>
      <c r="AX62" s="102"/>
      <c r="AY62" s="102"/>
      <c r="AZ62" s="102"/>
      <c r="BA62" s="102"/>
      <c r="BB62" s="102"/>
      <c r="BC62" s="102"/>
      <c r="BD62" s="102"/>
      <c r="BE62" s="102"/>
      <c r="BF62" s="102"/>
      <c r="BG62" s="102"/>
      <c r="BH62" s="102"/>
      <c r="BI62" s="102"/>
    </row>
    <row r="63" spans="1:61" s="17" customFormat="1" hidden="1" outlineLevel="1" x14ac:dyDescent="0.25">
      <c r="A63" s="16" t="str">
        <f t="shared" si="77"/>
        <v>Interest</v>
      </c>
      <c r="B63" s="101">
        <f t="shared" si="71"/>
        <v>10.721237674792851</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f>+AD66*AC$9/2</f>
        <v>1.2877816814799445</v>
      </c>
      <c r="AE63" s="102">
        <f>+AE66*AC$9/2</f>
        <v>1.2232334434618846</v>
      </c>
      <c r="AF63" s="102">
        <f>+AF66*AC$9/2</f>
        <v>1.1552924323206255</v>
      </c>
      <c r="AG63" s="102">
        <f>+AG66*AC$9/2</f>
        <v>1.0837803177125522</v>
      </c>
      <c r="AH63" s="102">
        <f>+AH66*AC$9/2</f>
        <v>1.0085093959259233</v>
      </c>
      <c r="AI63" s="102">
        <f>+AI66*AC$9/2</f>
        <v>0.92928209719954524</v>
      </c>
      <c r="AJ63" s="102">
        <f>+AJ66*AC$9/2</f>
        <v>0.84589046714521821</v>
      </c>
      <c r="AK63" s="102">
        <f>+AK66*AC$9/2</f>
        <v>0.75811562091279949</v>
      </c>
      <c r="AL63" s="102">
        <f>+AL66*AC$9/2</f>
        <v>0.66572716866518689</v>
      </c>
      <c r="AM63" s="102">
        <f>+AM66*AC$9/2</f>
        <v>0.56848261085522012</v>
      </c>
      <c r="AN63" s="102">
        <f>+AN66*AC$9/2</f>
        <v>0.46612670171723219</v>
      </c>
      <c r="AO63" s="102">
        <f>+AO66*AC$9/2</f>
        <v>0.35839077930255653</v>
      </c>
      <c r="AP63" s="102">
        <f>+AP66*AC$9/2</f>
        <v>0.24499206030047743</v>
      </c>
      <c r="AQ63" s="102">
        <f>+AQ66*AC$9/2</f>
        <v>0.12563289779368469</v>
      </c>
      <c r="AR63" s="102">
        <f>+AR66*AC$9/2</f>
        <v>1.036944815727533E-16</v>
      </c>
      <c r="AS63" s="102"/>
      <c r="AT63" s="102"/>
      <c r="AU63" s="102"/>
      <c r="AV63" s="102"/>
      <c r="AW63" s="102"/>
      <c r="AX63" s="102"/>
      <c r="AY63" s="102"/>
      <c r="AZ63" s="102"/>
      <c r="BA63" s="102"/>
      <c r="BB63" s="102"/>
      <c r="BC63" s="102"/>
      <c r="BD63" s="102"/>
      <c r="BE63" s="102"/>
      <c r="BF63" s="102"/>
      <c r="BG63" s="102"/>
      <c r="BH63" s="102"/>
      <c r="BI63" s="102"/>
    </row>
    <row r="64" spans="1:61" s="17" customFormat="1" hidden="1" outlineLevel="1" x14ac:dyDescent="0.25">
      <c r="A64" s="16" t="str">
        <f t="shared" si="77"/>
        <v xml:space="preserve">Debt Servicing </v>
      </c>
      <c r="B64" s="101">
        <f t="shared" si="71"/>
        <v>40.253212572781038</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f>-PMT($AC$9/2,$AC$10*2,AC59)</f>
        <v>2.5158257857988144</v>
      </c>
      <c r="AD64" s="102">
        <f t="shared" ref="AD64:AR64" si="79">+AC64</f>
        <v>2.5158257857988144</v>
      </c>
      <c r="AE64" s="102">
        <f t="shared" si="79"/>
        <v>2.5158257857988144</v>
      </c>
      <c r="AF64" s="102">
        <f t="shared" si="79"/>
        <v>2.5158257857988144</v>
      </c>
      <c r="AG64" s="102">
        <f t="shared" si="79"/>
        <v>2.5158257857988144</v>
      </c>
      <c r="AH64" s="102">
        <f t="shared" si="79"/>
        <v>2.5158257857988144</v>
      </c>
      <c r="AI64" s="102">
        <f t="shared" si="79"/>
        <v>2.5158257857988144</v>
      </c>
      <c r="AJ64" s="102">
        <f t="shared" si="79"/>
        <v>2.5158257857988144</v>
      </c>
      <c r="AK64" s="102">
        <f t="shared" si="79"/>
        <v>2.5158257857988144</v>
      </c>
      <c r="AL64" s="102">
        <f t="shared" si="79"/>
        <v>2.5158257857988144</v>
      </c>
      <c r="AM64" s="102">
        <f t="shared" si="79"/>
        <v>2.5158257857988144</v>
      </c>
      <c r="AN64" s="102">
        <f t="shared" si="79"/>
        <v>2.5158257857988144</v>
      </c>
      <c r="AO64" s="102">
        <f t="shared" si="79"/>
        <v>2.5158257857988144</v>
      </c>
      <c r="AP64" s="102">
        <f t="shared" si="79"/>
        <v>2.5158257857988144</v>
      </c>
      <c r="AQ64" s="102">
        <f t="shared" si="79"/>
        <v>2.5158257857988144</v>
      </c>
      <c r="AR64" s="102">
        <f t="shared" si="79"/>
        <v>2.5158257857988144</v>
      </c>
      <c r="AS64" s="102"/>
      <c r="AT64" s="102"/>
      <c r="AU64" s="102"/>
      <c r="AV64" s="102"/>
      <c r="AW64" s="102"/>
      <c r="AX64" s="102"/>
      <c r="AY64" s="102"/>
      <c r="AZ64" s="102"/>
      <c r="BA64" s="102"/>
      <c r="BB64" s="102"/>
      <c r="BC64" s="102"/>
      <c r="BD64" s="102"/>
      <c r="BE64" s="102"/>
      <c r="BF64" s="102"/>
      <c r="BG64" s="102"/>
      <c r="BH64" s="102"/>
      <c r="BI64" s="102"/>
    </row>
    <row r="65" spans="1:61" s="17" customFormat="1" hidden="1" outlineLevel="1" x14ac:dyDescent="0.25">
      <c r="A65" s="16" t="str">
        <f t="shared" si="77"/>
        <v xml:space="preserve">Debt Servicing </v>
      </c>
      <c r="B65" s="101">
        <f t="shared" si="71"/>
        <v>35.221561001183403</v>
      </c>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f t="shared" ref="AD65:AQ65" si="80">+AD64</f>
        <v>2.5158257857988144</v>
      </c>
      <c r="AE65" s="102">
        <f t="shared" si="80"/>
        <v>2.5158257857988144</v>
      </c>
      <c r="AF65" s="102">
        <f t="shared" si="80"/>
        <v>2.5158257857988144</v>
      </c>
      <c r="AG65" s="102">
        <f t="shared" si="80"/>
        <v>2.5158257857988144</v>
      </c>
      <c r="AH65" s="102">
        <f t="shared" si="80"/>
        <v>2.5158257857988144</v>
      </c>
      <c r="AI65" s="102">
        <f t="shared" si="80"/>
        <v>2.5158257857988144</v>
      </c>
      <c r="AJ65" s="102">
        <f t="shared" si="80"/>
        <v>2.5158257857988144</v>
      </c>
      <c r="AK65" s="102">
        <f t="shared" si="80"/>
        <v>2.5158257857988144</v>
      </c>
      <c r="AL65" s="102">
        <f t="shared" si="80"/>
        <v>2.5158257857988144</v>
      </c>
      <c r="AM65" s="102">
        <f t="shared" si="80"/>
        <v>2.5158257857988144</v>
      </c>
      <c r="AN65" s="102">
        <f t="shared" si="80"/>
        <v>2.5158257857988144</v>
      </c>
      <c r="AO65" s="102">
        <f t="shared" si="80"/>
        <v>2.5158257857988144</v>
      </c>
      <c r="AP65" s="102">
        <f t="shared" si="80"/>
        <v>2.5158257857988144</v>
      </c>
      <c r="AQ65" s="102">
        <f t="shared" si="80"/>
        <v>2.5158257857988144</v>
      </c>
      <c r="AR65" s="102"/>
      <c r="AS65" s="102"/>
      <c r="AT65" s="102"/>
      <c r="AU65" s="102"/>
      <c r="AV65" s="102"/>
      <c r="AW65" s="102"/>
      <c r="AX65" s="102"/>
      <c r="AY65" s="102"/>
      <c r="AZ65" s="102"/>
      <c r="BA65" s="102"/>
      <c r="BB65" s="102"/>
      <c r="BC65" s="102"/>
      <c r="BD65" s="102"/>
      <c r="BE65" s="102"/>
      <c r="BF65" s="102"/>
      <c r="BG65" s="102"/>
      <c r="BH65" s="102"/>
      <c r="BI65" s="102"/>
    </row>
    <row r="66" spans="1:61" s="17" customFormat="1" hidden="1" outlineLevel="1" x14ac:dyDescent="0.25">
      <c r="A66" s="16" t="str">
        <f t="shared" si="77"/>
        <v>Balance mid year</v>
      </c>
      <c r="B66" s="101">
        <f t="shared" si="71"/>
        <v>413.23967349657619</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v>0</v>
      </c>
      <c r="AD66" s="102">
        <f t="shared" ref="AD66:AR66" si="81">+AC67-AD60</f>
        <v>49.636291791276456</v>
      </c>
      <c r="AE66" s="102">
        <f t="shared" si="81"/>
        <v>47.148342767809091</v>
      </c>
      <c r="AF66" s="102">
        <f t="shared" si="81"/>
        <v>44.529622605765518</v>
      </c>
      <c r="AG66" s="102">
        <f t="shared" si="81"/>
        <v>41.77325773558173</v>
      </c>
      <c r="AH66" s="102">
        <f t="shared" si="81"/>
        <v>38.872013300340363</v>
      </c>
      <c r="AI66" s="102">
        <f t="shared" si="81"/>
        <v>35.818274165848436</v>
      </c>
      <c r="AJ66" s="102">
        <f t="shared" si="81"/>
        <v>32.604024932570134</v>
      </c>
      <c r="AK66" s="102">
        <f t="shared" si="81"/>
        <v>29.220828896950323</v>
      </c>
      <c r="AL66" s="102">
        <f t="shared" si="81"/>
        <v>25.659805906906861</v>
      </c>
      <c r="AM66" s="102">
        <f t="shared" si="81"/>
        <v>21.911609053367183</v>
      </c>
      <c r="AN66" s="102">
        <f t="shared" si="81"/>
        <v>17.966400136669552</v>
      </c>
      <c r="AO66" s="102">
        <f t="shared" si="81"/>
        <v>13.813823843433589</v>
      </c>
      <c r="AP66" s="102">
        <f t="shared" si="81"/>
        <v>9.442980566120033</v>
      </c>
      <c r="AQ66" s="102">
        <f t="shared" si="81"/>
        <v>4.8423977939369856</v>
      </c>
      <c r="AR66" s="102">
        <f t="shared" si="81"/>
        <v>3.9968028886505635E-15</v>
      </c>
      <c r="AS66" s="102"/>
      <c r="AT66" s="102"/>
      <c r="AU66" s="102"/>
      <c r="AV66" s="102"/>
      <c r="AW66" s="102"/>
      <c r="AX66" s="102"/>
      <c r="AY66" s="102"/>
      <c r="AZ66" s="102"/>
      <c r="BA66" s="102"/>
      <c r="BB66" s="102"/>
      <c r="BC66" s="102"/>
      <c r="BD66" s="102"/>
      <c r="BE66" s="102"/>
      <c r="BF66" s="102"/>
      <c r="BG66" s="102"/>
      <c r="BH66" s="102"/>
      <c r="BI66" s="102"/>
    </row>
    <row r="67" spans="1:61" s="17" customFormat="1" hidden="1" outlineLevel="1" x14ac:dyDescent="0.25">
      <c r="A67" s="16" t="str">
        <f t="shared" si="77"/>
        <v>Balance</v>
      </c>
      <c r="B67" s="101">
        <f t="shared" si="71"/>
        <v>439.5726309558155</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f>+AC59-AC60</f>
        <v>50.833280785629753</v>
      </c>
      <c r="AD67" s="102">
        <f t="shared" ref="AD67:AR67" si="82">+AD66-AD61</f>
        <v>48.408247686957587</v>
      </c>
      <c r="AE67" s="102">
        <f t="shared" si="82"/>
        <v>45.855750425472159</v>
      </c>
      <c r="AF67" s="102">
        <f t="shared" si="82"/>
        <v>43.169089252287328</v>
      </c>
      <c r="AG67" s="102">
        <f t="shared" si="82"/>
        <v>40.341212267495465</v>
      </c>
      <c r="AH67" s="102">
        <f t="shared" si="82"/>
        <v>37.364696910467472</v>
      </c>
      <c r="AI67" s="102">
        <f t="shared" si="82"/>
        <v>34.231730477249165</v>
      </c>
      <c r="AJ67" s="102">
        <f t="shared" si="82"/>
        <v>30.934089613916537</v>
      </c>
      <c r="AK67" s="102">
        <f t="shared" si="82"/>
        <v>27.463118732064309</v>
      </c>
      <c r="AL67" s="102">
        <f t="shared" si="82"/>
        <v>23.809707289773232</v>
      </c>
      <c r="AM67" s="102">
        <f t="shared" si="82"/>
        <v>19.964265878423589</v>
      </c>
      <c r="AN67" s="102">
        <f t="shared" si="82"/>
        <v>15.916701052587971</v>
      </c>
      <c r="AO67" s="102">
        <f t="shared" si="82"/>
        <v>11.656388836937332</v>
      </c>
      <c r="AP67" s="102">
        <f t="shared" si="82"/>
        <v>7.1721468406216964</v>
      </c>
      <c r="AQ67" s="102">
        <f t="shared" si="82"/>
        <v>2.4522049059318558</v>
      </c>
      <c r="AR67" s="102">
        <f t="shared" si="82"/>
        <v>4.100497370223317E-15</v>
      </c>
      <c r="AS67" s="102"/>
      <c r="AT67" s="102"/>
      <c r="AU67" s="102"/>
      <c r="AV67" s="102"/>
      <c r="AW67" s="102"/>
      <c r="AX67" s="102"/>
      <c r="AY67" s="102"/>
      <c r="AZ67" s="102"/>
      <c r="BA67" s="102"/>
      <c r="BB67" s="102"/>
      <c r="BC67" s="102"/>
      <c r="BD67" s="102"/>
      <c r="BE67" s="102"/>
      <c r="BF67" s="102"/>
      <c r="BG67" s="102"/>
      <c r="BH67" s="102"/>
      <c r="BI67" s="102"/>
    </row>
    <row r="68" spans="1:61" s="17" customFormat="1" hidden="1" outlineLevel="1" x14ac:dyDescent="0.25">
      <c r="A68" s="16"/>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row>
    <row r="69" spans="1:61" hidden="1" outlineLevel="1" x14ac:dyDescent="0.25">
      <c r="A69" s="20" t="s">
        <v>226</v>
      </c>
      <c r="B69" s="101">
        <f t="shared" ref="B69:B97" si="83">SUM(C69:BB69)</f>
        <v>0</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f>AD8</f>
        <v>0</v>
      </c>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row>
    <row r="70" spans="1:61" s="17" customFormat="1" hidden="1" outlineLevel="1" x14ac:dyDescent="0.25">
      <c r="A70" s="16" t="s">
        <v>163</v>
      </c>
      <c r="B70" s="101">
        <f t="shared" si="83"/>
        <v>0</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f>+AD74-AD72</f>
        <v>0</v>
      </c>
      <c r="AE70" s="102">
        <f>+AE74-AE72</f>
        <v>0</v>
      </c>
      <c r="AF70" s="102">
        <f t="shared" ref="AF70:AS71" si="84">+AF74-AF72</f>
        <v>0</v>
      </c>
      <c r="AG70" s="102">
        <f t="shared" si="84"/>
        <v>0</v>
      </c>
      <c r="AH70" s="102">
        <f t="shared" si="84"/>
        <v>0</v>
      </c>
      <c r="AI70" s="102">
        <f t="shared" si="84"/>
        <v>0</v>
      </c>
      <c r="AJ70" s="102">
        <f t="shared" si="84"/>
        <v>0</v>
      </c>
      <c r="AK70" s="102">
        <f t="shared" si="84"/>
        <v>0</v>
      </c>
      <c r="AL70" s="102">
        <f t="shared" si="84"/>
        <v>0</v>
      </c>
      <c r="AM70" s="102">
        <f t="shared" si="84"/>
        <v>0</v>
      </c>
      <c r="AN70" s="102">
        <f t="shared" si="84"/>
        <v>0</v>
      </c>
      <c r="AO70" s="102">
        <f t="shared" si="84"/>
        <v>0</v>
      </c>
      <c r="AP70" s="102">
        <f t="shared" si="84"/>
        <v>0</v>
      </c>
      <c r="AQ70" s="102">
        <f t="shared" si="84"/>
        <v>0</v>
      </c>
      <c r="AR70" s="102">
        <f t="shared" si="84"/>
        <v>0</v>
      </c>
      <c r="AS70" s="102">
        <f t="shared" si="84"/>
        <v>0</v>
      </c>
      <c r="AT70" s="102"/>
      <c r="AU70" s="102"/>
      <c r="AV70" s="102"/>
      <c r="AW70" s="102"/>
      <c r="AX70" s="102"/>
      <c r="AY70" s="102"/>
      <c r="AZ70" s="102"/>
      <c r="BA70" s="102"/>
      <c r="BB70" s="102"/>
      <c r="BC70" s="102"/>
      <c r="BD70" s="102"/>
      <c r="BE70" s="102"/>
      <c r="BF70" s="102"/>
      <c r="BG70" s="102"/>
      <c r="BH70" s="102"/>
      <c r="BI70" s="102"/>
    </row>
    <row r="71" spans="1:61" s="17" customFormat="1" hidden="1" outlineLevel="1" x14ac:dyDescent="0.25">
      <c r="A71" s="16" t="s">
        <v>163</v>
      </c>
      <c r="B71" s="101">
        <f t="shared" si="83"/>
        <v>0</v>
      </c>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f>+AE75-AE73</f>
        <v>0</v>
      </c>
      <c r="AF71" s="102">
        <f t="shared" si="84"/>
        <v>0</v>
      </c>
      <c r="AG71" s="102">
        <f t="shared" si="84"/>
        <v>0</v>
      </c>
      <c r="AH71" s="102">
        <f t="shared" si="84"/>
        <v>0</v>
      </c>
      <c r="AI71" s="102">
        <f t="shared" si="84"/>
        <v>0</v>
      </c>
      <c r="AJ71" s="102">
        <f t="shared" si="84"/>
        <v>0</v>
      </c>
      <c r="AK71" s="102">
        <f t="shared" si="84"/>
        <v>0</v>
      </c>
      <c r="AL71" s="102">
        <f t="shared" si="84"/>
        <v>0</v>
      </c>
      <c r="AM71" s="102">
        <f t="shared" si="84"/>
        <v>0</v>
      </c>
      <c r="AN71" s="102">
        <f t="shared" si="84"/>
        <v>0</v>
      </c>
      <c r="AO71" s="102">
        <f t="shared" si="84"/>
        <v>0</v>
      </c>
      <c r="AP71" s="102">
        <f t="shared" si="84"/>
        <v>0</v>
      </c>
      <c r="AQ71" s="102">
        <f t="shared" si="84"/>
        <v>0</v>
      </c>
      <c r="AR71" s="102">
        <f t="shared" si="84"/>
        <v>0</v>
      </c>
      <c r="AS71" s="102">
        <f t="shared" si="84"/>
        <v>0</v>
      </c>
      <c r="AT71" s="102"/>
      <c r="AU71" s="102"/>
      <c r="AV71" s="102"/>
      <c r="AW71" s="102"/>
      <c r="AX71" s="102"/>
      <c r="AY71" s="102"/>
      <c r="AZ71" s="102"/>
      <c r="BA71" s="102"/>
      <c r="BB71" s="102"/>
      <c r="BC71" s="102"/>
      <c r="BD71" s="102"/>
      <c r="BE71" s="102"/>
      <c r="BF71" s="102"/>
      <c r="BG71" s="102"/>
      <c r="BH71" s="102"/>
      <c r="BI71" s="102"/>
    </row>
    <row r="72" spans="1:61" s="17" customFormat="1" hidden="1" outlineLevel="1" x14ac:dyDescent="0.25">
      <c r="A72" s="16" t="s">
        <v>164</v>
      </c>
      <c r="B72" s="101">
        <f t="shared" si="83"/>
        <v>0</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f>AD69*AD9/2</f>
        <v>0</v>
      </c>
      <c r="AE72" s="102">
        <f>+AD77*$AD$9/2</f>
        <v>0</v>
      </c>
      <c r="AF72" s="102">
        <f t="shared" ref="AF72:AS72" si="85">+AE77*$AD$9/2</f>
        <v>0</v>
      </c>
      <c r="AG72" s="102">
        <f t="shared" si="85"/>
        <v>0</v>
      </c>
      <c r="AH72" s="102">
        <f t="shared" si="85"/>
        <v>0</v>
      </c>
      <c r="AI72" s="102">
        <f t="shared" si="85"/>
        <v>0</v>
      </c>
      <c r="AJ72" s="102">
        <f t="shared" si="85"/>
        <v>0</v>
      </c>
      <c r="AK72" s="102">
        <f t="shared" si="85"/>
        <v>0</v>
      </c>
      <c r="AL72" s="102">
        <f t="shared" si="85"/>
        <v>0</v>
      </c>
      <c r="AM72" s="102">
        <f t="shared" si="85"/>
        <v>0</v>
      </c>
      <c r="AN72" s="102">
        <f t="shared" si="85"/>
        <v>0</v>
      </c>
      <c r="AO72" s="102">
        <f t="shared" si="85"/>
        <v>0</v>
      </c>
      <c r="AP72" s="102">
        <f t="shared" si="85"/>
        <v>0</v>
      </c>
      <c r="AQ72" s="102">
        <f t="shared" si="85"/>
        <v>0</v>
      </c>
      <c r="AR72" s="102">
        <f t="shared" si="85"/>
        <v>0</v>
      </c>
      <c r="AS72" s="102">
        <f t="shared" si="85"/>
        <v>0</v>
      </c>
      <c r="AT72" s="102"/>
      <c r="AU72" s="102"/>
      <c r="AV72" s="102"/>
      <c r="AW72" s="102"/>
      <c r="AX72" s="102"/>
      <c r="AY72" s="102"/>
      <c r="AZ72" s="102"/>
      <c r="BA72" s="102"/>
      <c r="BB72" s="102"/>
      <c r="BC72" s="102"/>
      <c r="BD72" s="102"/>
      <c r="BE72" s="102"/>
      <c r="BF72" s="102"/>
      <c r="BG72" s="102"/>
      <c r="BH72" s="102"/>
      <c r="BI72" s="102"/>
    </row>
    <row r="73" spans="1:61" s="17" customFormat="1" hidden="1" outlineLevel="1" x14ac:dyDescent="0.25">
      <c r="A73" s="16" t="s">
        <v>164</v>
      </c>
      <c r="B73" s="101">
        <f t="shared" si="83"/>
        <v>0</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f>+AE76*$AD$9/2</f>
        <v>0</v>
      </c>
      <c r="AF73" s="102">
        <f t="shared" ref="AF73:AS73" si="86">+AF76*$AD$9/2</f>
        <v>0</v>
      </c>
      <c r="AG73" s="102">
        <f t="shared" si="86"/>
        <v>0</v>
      </c>
      <c r="AH73" s="102">
        <f t="shared" si="86"/>
        <v>0</v>
      </c>
      <c r="AI73" s="102">
        <f t="shared" si="86"/>
        <v>0</v>
      </c>
      <c r="AJ73" s="102">
        <f t="shared" si="86"/>
        <v>0</v>
      </c>
      <c r="AK73" s="102">
        <f t="shared" si="86"/>
        <v>0</v>
      </c>
      <c r="AL73" s="102">
        <f t="shared" si="86"/>
        <v>0</v>
      </c>
      <c r="AM73" s="102">
        <f t="shared" si="86"/>
        <v>0</v>
      </c>
      <c r="AN73" s="102">
        <f t="shared" si="86"/>
        <v>0</v>
      </c>
      <c r="AO73" s="102">
        <f t="shared" si="86"/>
        <v>0</v>
      </c>
      <c r="AP73" s="102">
        <f t="shared" si="86"/>
        <v>0</v>
      </c>
      <c r="AQ73" s="102">
        <f t="shared" si="86"/>
        <v>0</v>
      </c>
      <c r="AR73" s="102">
        <f t="shared" si="86"/>
        <v>0</v>
      </c>
      <c r="AS73" s="102">
        <f t="shared" si="86"/>
        <v>0</v>
      </c>
      <c r="AT73" s="102"/>
      <c r="AU73" s="102"/>
      <c r="AV73" s="102"/>
      <c r="AW73" s="102"/>
      <c r="AX73" s="102"/>
      <c r="AY73" s="102"/>
      <c r="AZ73" s="102"/>
      <c r="BA73" s="102"/>
      <c r="BB73" s="102"/>
      <c r="BC73" s="102"/>
      <c r="BD73" s="102"/>
      <c r="BE73" s="102"/>
      <c r="BF73" s="102"/>
      <c r="BG73" s="102"/>
      <c r="BH73" s="102"/>
      <c r="BI73" s="102"/>
    </row>
    <row r="74" spans="1:61" s="17" customFormat="1" hidden="1" outlineLevel="1" x14ac:dyDescent="0.25">
      <c r="A74" s="16" t="s">
        <v>220</v>
      </c>
      <c r="B74" s="101">
        <f t="shared" si="83"/>
        <v>0</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f>-PMT(AD9/2,AD10*2,AD8)</f>
        <v>0</v>
      </c>
      <c r="AE74" s="102">
        <f>+AD74</f>
        <v>0</v>
      </c>
      <c r="AF74" s="102">
        <f t="shared" ref="AF74:AS74" si="87">+AE74</f>
        <v>0</v>
      </c>
      <c r="AG74" s="102">
        <f t="shared" si="87"/>
        <v>0</v>
      </c>
      <c r="AH74" s="102">
        <f t="shared" si="87"/>
        <v>0</v>
      </c>
      <c r="AI74" s="102">
        <f t="shared" si="87"/>
        <v>0</v>
      </c>
      <c r="AJ74" s="102">
        <f t="shared" si="87"/>
        <v>0</v>
      </c>
      <c r="AK74" s="102">
        <f t="shared" si="87"/>
        <v>0</v>
      </c>
      <c r="AL74" s="102">
        <f t="shared" si="87"/>
        <v>0</v>
      </c>
      <c r="AM74" s="102">
        <f t="shared" si="87"/>
        <v>0</v>
      </c>
      <c r="AN74" s="102">
        <f t="shared" si="87"/>
        <v>0</v>
      </c>
      <c r="AO74" s="102">
        <f t="shared" si="87"/>
        <v>0</v>
      </c>
      <c r="AP74" s="102">
        <f t="shared" si="87"/>
        <v>0</v>
      </c>
      <c r="AQ74" s="102">
        <f t="shared" si="87"/>
        <v>0</v>
      </c>
      <c r="AR74" s="102">
        <f t="shared" si="87"/>
        <v>0</v>
      </c>
      <c r="AS74" s="102">
        <f t="shared" si="87"/>
        <v>0</v>
      </c>
      <c r="AT74" s="102"/>
      <c r="AU74" s="102"/>
      <c r="AV74" s="102"/>
      <c r="AW74" s="102"/>
      <c r="AX74" s="102"/>
      <c r="AY74" s="102"/>
      <c r="AZ74" s="102"/>
      <c r="BA74" s="102"/>
      <c r="BB74" s="102"/>
      <c r="BC74" s="102"/>
      <c r="BD74" s="102"/>
      <c r="BE74" s="102"/>
      <c r="BF74" s="102"/>
      <c r="BG74" s="102"/>
      <c r="BH74" s="102"/>
      <c r="BI74" s="102"/>
    </row>
    <row r="75" spans="1:61" s="17" customFormat="1" hidden="1" outlineLevel="1" x14ac:dyDescent="0.25">
      <c r="A75" s="16" t="s">
        <v>220</v>
      </c>
      <c r="B75" s="101">
        <f t="shared" si="83"/>
        <v>0</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f>+AE74</f>
        <v>0</v>
      </c>
      <c r="AF75" s="102">
        <f t="shared" ref="AF75:AR75" si="88">+AF74</f>
        <v>0</v>
      </c>
      <c r="AG75" s="102">
        <f t="shared" si="88"/>
        <v>0</v>
      </c>
      <c r="AH75" s="102">
        <f t="shared" si="88"/>
        <v>0</v>
      </c>
      <c r="AI75" s="102">
        <f t="shared" si="88"/>
        <v>0</v>
      </c>
      <c r="AJ75" s="102">
        <f t="shared" si="88"/>
        <v>0</v>
      </c>
      <c r="AK75" s="102">
        <f t="shared" si="88"/>
        <v>0</v>
      </c>
      <c r="AL75" s="102">
        <f t="shared" si="88"/>
        <v>0</v>
      </c>
      <c r="AM75" s="102">
        <f t="shared" si="88"/>
        <v>0</v>
      </c>
      <c r="AN75" s="102">
        <f t="shared" si="88"/>
        <v>0</v>
      </c>
      <c r="AO75" s="102">
        <f t="shared" si="88"/>
        <v>0</v>
      </c>
      <c r="AP75" s="102">
        <f t="shared" si="88"/>
        <v>0</v>
      </c>
      <c r="AQ75" s="102">
        <f t="shared" si="88"/>
        <v>0</v>
      </c>
      <c r="AR75" s="102">
        <f t="shared" si="88"/>
        <v>0</v>
      </c>
      <c r="AS75" s="102"/>
      <c r="AT75" s="102"/>
      <c r="AU75" s="102"/>
      <c r="AV75" s="102"/>
      <c r="AW75" s="102"/>
      <c r="AX75" s="102"/>
      <c r="AY75" s="102"/>
      <c r="AZ75" s="102"/>
      <c r="BA75" s="102"/>
      <c r="BB75" s="102"/>
      <c r="BC75" s="102"/>
      <c r="BD75" s="102"/>
      <c r="BE75" s="102"/>
      <c r="BF75" s="102"/>
      <c r="BG75" s="102"/>
      <c r="BH75" s="102"/>
      <c r="BI75" s="102"/>
    </row>
    <row r="76" spans="1:61" s="17" customFormat="1" hidden="1" outlineLevel="1" x14ac:dyDescent="0.25">
      <c r="A76" s="16" t="s">
        <v>227</v>
      </c>
      <c r="B76" s="101">
        <f t="shared" si="83"/>
        <v>0</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f>+AD77-AE70</f>
        <v>0</v>
      </c>
      <c r="AF76" s="102">
        <f t="shared" ref="AF76:AS76" si="89">+AE77-AF70</f>
        <v>0</v>
      </c>
      <c r="AG76" s="102">
        <f t="shared" si="89"/>
        <v>0</v>
      </c>
      <c r="AH76" s="102">
        <f t="shared" si="89"/>
        <v>0</v>
      </c>
      <c r="AI76" s="102">
        <f t="shared" si="89"/>
        <v>0</v>
      </c>
      <c r="AJ76" s="102">
        <f t="shared" si="89"/>
        <v>0</v>
      </c>
      <c r="AK76" s="102">
        <f t="shared" si="89"/>
        <v>0</v>
      </c>
      <c r="AL76" s="102">
        <f t="shared" si="89"/>
        <v>0</v>
      </c>
      <c r="AM76" s="102">
        <f t="shared" si="89"/>
        <v>0</v>
      </c>
      <c r="AN76" s="102">
        <f t="shared" si="89"/>
        <v>0</v>
      </c>
      <c r="AO76" s="102">
        <f t="shared" si="89"/>
        <v>0</v>
      </c>
      <c r="AP76" s="102">
        <f t="shared" si="89"/>
        <v>0</v>
      </c>
      <c r="AQ76" s="102">
        <f t="shared" si="89"/>
        <v>0</v>
      </c>
      <c r="AR76" s="102">
        <f t="shared" si="89"/>
        <v>0</v>
      </c>
      <c r="AS76" s="102">
        <f t="shared" si="89"/>
        <v>0</v>
      </c>
      <c r="AT76" s="102"/>
      <c r="AU76" s="102"/>
      <c r="AV76" s="102"/>
      <c r="AW76" s="102"/>
      <c r="AX76" s="102"/>
      <c r="AY76" s="102"/>
      <c r="AZ76" s="102"/>
      <c r="BA76" s="102"/>
      <c r="BB76" s="102"/>
      <c r="BC76" s="102"/>
      <c r="BD76" s="102"/>
      <c r="BE76" s="102"/>
      <c r="BF76" s="102"/>
      <c r="BG76" s="102"/>
      <c r="BH76" s="102"/>
      <c r="BI76" s="102"/>
    </row>
    <row r="77" spans="1:61" s="17" customFormat="1" hidden="1" outlineLevel="1" x14ac:dyDescent="0.25">
      <c r="A77" s="16" t="s">
        <v>16</v>
      </c>
      <c r="B77" s="101">
        <f t="shared" si="83"/>
        <v>0</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f>AD69-AD70</f>
        <v>0</v>
      </c>
      <c r="AE77" s="102">
        <f>+AE76-AE71</f>
        <v>0</v>
      </c>
      <c r="AF77" s="102">
        <f t="shared" ref="AF77:AS77" si="90">+AF76-AF71</f>
        <v>0</v>
      </c>
      <c r="AG77" s="102">
        <f t="shared" si="90"/>
        <v>0</v>
      </c>
      <c r="AH77" s="102">
        <f t="shared" si="90"/>
        <v>0</v>
      </c>
      <c r="AI77" s="102">
        <f t="shared" si="90"/>
        <v>0</v>
      </c>
      <c r="AJ77" s="102">
        <f t="shared" si="90"/>
        <v>0</v>
      </c>
      <c r="AK77" s="102">
        <f t="shared" si="90"/>
        <v>0</v>
      </c>
      <c r="AL77" s="102">
        <f t="shared" si="90"/>
        <v>0</v>
      </c>
      <c r="AM77" s="102">
        <f t="shared" si="90"/>
        <v>0</v>
      </c>
      <c r="AN77" s="102">
        <f t="shared" si="90"/>
        <v>0</v>
      </c>
      <c r="AO77" s="102">
        <f t="shared" si="90"/>
        <v>0</v>
      </c>
      <c r="AP77" s="102">
        <f t="shared" si="90"/>
        <v>0</v>
      </c>
      <c r="AQ77" s="102">
        <f t="shared" si="90"/>
        <v>0</v>
      </c>
      <c r="AR77" s="102">
        <f t="shared" si="90"/>
        <v>0</v>
      </c>
      <c r="AS77" s="102">
        <f t="shared" si="90"/>
        <v>0</v>
      </c>
      <c r="AT77" s="102"/>
      <c r="AU77" s="102"/>
      <c r="AV77" s="102"/>
      <c r="AW77" s="102"/>
      <c r="AX77" s="102"/>
      <c r="AY77" s="102"/>
      <c r="AZ77" s="102"/>
      <c r="BA77" s="102"/>
      <c r="BB77" s="102"/>
      <c r="BC77" s="102"/>
      <c r="BD77" s="102"/>
      <c r="BE77" s="102"/>
      <c r="BF77" s="102"/>
      <c r="BG77" s="102"/>
      <c r="BH77" s="102"/>
      <c r="BI77" s="102"/>
    </row>
    <row r="78" spans="1:61" hidden="1" outlineLevel="1" x14ac:dyDescent="0.25">
      <c r="A78" s="21"/>
      <c r="B78" s="101">
        <f t="shared" si="83"/>
        <v>0</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row>
    <row r="79" spans="1:61" hidden="1" outlineLevel="1" x14ac:dyDescent="0.25">
      <c r="A79" s="20" t="str">
        <f t="shared" ref="A79:A87" si="91">A69</f>
        <v>Debt Forecasted</v>
      </c>
      <c r="B79" s="101">
        <f t="shared" si="83"/>
        <v>0</v>
      </c>
      <c r="C79" s="102">
        <v>0</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f>AE8</f>
        <v>0</v>
      </c>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row>
    <row r="80" spans="1:61" s="17" customFormat="1" hidden="1" outlineLevel="1" x14ac:dyDescent="0.25">
      <c r="A80" s="16" t="str">
        <f t="shared" si="91"/>
        <v>Principal</v>
      </c>
      <c r="B80" s="101">
        <f t="shared" si="83"/>
        <v>0</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f t="shared" ref="AE80:AT81" si="92">+AE84-AE82</f>
        <v>0</v>
      </c>
      <c r="AF80" s="102">
        <f t="shared" si="92"/>
        <v>0</v>
      </c>
      <c r="AG80" s="102">
        <f t="shared" si="92"/>
        <v>0</v>
      </c>
      <c r="AH80" s="102">
        <f t="shared" si="92"/>
        <v>0</v>
      </c>
      <c r="AI80" s="102">
        <f t="shared" si="92"/>
        <v>0</v>
      </c>
      <c r="AJ80" s="102">
        <f t="shared" si="92"/>
        <v>0</v>
      </c>
      <c r="AK80" s="102">
        <f t="shared" si="92"/>
        <v>0</v>
      </c>
      <c r="AL80" s="102">
        <f t="shared" si="92"/>
        <v>0</v>
      </c>
      <c r="AM80" s="102">
        <f t="shared" si="92"/>
        <v>0</v>
      </c>
      <c r="AN80" s="102">
        <f t="shared" si="92"/>
        <v>0</v>
      </c>
      <c r="AO80" s="102">
        <f t="shared" si="92"/>
        <v>0</v>
      </c>
      <c r="AP80" s="102">
        <f t="shared" si="92"/>
        <v>0</v>
      </c>
      <c r="AQ80" s="102">
        <f t="shared" si="92"/>
        <v>0</v>
      </c>
      <c r="AR80" s="102">
        <f t="shared" si="92"/>
        <v>0</v>
      </c>
      <c r="AS80" s="102">
        <f t="shared" si="92"/>
        <v>0</v>
      </c>
      <c r="AT80" s="102">
        <f t="shared" si="92"/>
        <v>0</v>
      </c>
      <c r="AU80" s="102"/>
      <c r="AV80" s="102"/>
      <c r="AW80" s="102"/>
      <c r="AX80" s="102"/>
      <c r="AY80" s="102"/>
      <c r="AZ80" s="102"/>
      <c r="BA80" s="102"/>
      <c r="BB80" s="102"/>
      <c r="BC80" s="102"/>
      <c r="BD80" s="102"/>
      <c r="BE80" s="102"/>
      <c r="BF80" s="102"/>
      <c r="BG80" s="102"/>
      <c r="BH80" s="102"/>
      <c r="BI80" s="102"/>
    </row>
    <row r="81" spans="1:61" s="17" customFormat="1" hidden="1" outlineLevel="1" x14ac:dyDescent="0.25">
      <c r="A81" s="16" t="str">
        <f t="shared" si="91"/>
        <v>Principal</v>
      </c>
      <c r="B81" s="101">
        <f t="shared" si="83"/>
        <v>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f t="shared" si="92"/>
        <v>0</v>
      </c>
      <c r="AG81" s="102">
        <f t="shared" si="92"/>
        <v>0</v>
      </c>
      <c r="AH81" s="102">
        <f t="shared" si="92"/>
        <v>0</v>
      </c>
      <c r="AI81" s="102">
        <f t="shared" si="92"/>
        <v>0</v>
      </c>
      <c r="AJ81" s="102">
        <f t="shared" si="92"/>
        <v>0</v>
      </c>
      <c r="AK81" s="102">
        <f t="shared" si="92"/>
        <v>0</v>
      </c>
      <c r="AL81" s="102">
        <f t="shared" si="92"/>
        <v>0</v>
      </c>
      <c r="AM81" s="102">
        <f t="shared" si="92"/>
        <v>0</v>
      </c>
      <c r="AN81" s="102">
        <f t="shared" si="92"/>
        <v>0</v>
      </c>
      <c r="AO81" s="102">
        <f t="shared" si="92"/>
        <v>0</v>
      </c>
      <c r="AP81" s="102">
        <f t="shared" si="92"/>
        <v>0</v>
      </c>
      <c r="AQ81" s="102">
        <f t="shared" si="92"/>
        <v>0</v>
      </c>
      <c r="AR81" s="102">
        <f t="shared" si="92"/>
        <v>0</v>
      </c>
      <c r="AS81" s="102">
        <f t="shared" si="92"/>
        <v>0</v>
      </c>
      <c r="AT81" s="102">
        <f t="shared" si="92"/>
        <v>0</v>
      </c>
      <c r="AU81" s="102"/>
      <c r="AV81" s="102"/>
      <c r="AW81" s="102"/>
      <c r="AX81" s="102"/>
      <c r="AY81" s="102"/>
      <c r="AZ81" s="102"/>
      <c r="BA81" s="102"/>
      <c r="BB81" s="102"/>
      <c r="BC81" s="102"/>
      <c r="BD81" s="102"/>
      <c r="BE81" s="102"/>
      <c r="BF81" s="102"/>
      <c r="BG81" s="102"/>
      <c r="BH81" s="102"/>
      <c r="BI81" s="102"/>
    </row>
    <row r="82" spans="1:61" s="17" customFormat="1" hidden="1" outlineLevel="1" x14ac:dyDescent="0.25">
      <c r="A82" s="16" t="str">
        <f t="shared" si="91"/>
        <v>Interest</v>
      </c>
      <c r="B82" s="101">
        <f t="shared" si="83"/>
        <v>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f>+AE79*AE9/2</f>
        <v>0</v>
      </c>
      <c r="AF82" s="102">
        <f>+AE87*$AE$9/2</f>
        <v>0</v>
      </c>
      <c r="AG82" s="102">
        <f t="shared" ref="AG82:AT82" si="93">+AF87*$AE$9/2</f>
        <v>0</v>
      </c>
      <c r="AH82" s="102">
        <f t="shared" si="93"/>
        <v>0</v>
      </c>
      <c r="AI82" s="102">
        <f t="shared" si="93"/>
        <v>0</v>
      </c>
      <c r="AJ82" s="102">
        <f t="shared" si="93"/>
        <v>0</v>
      </c>
      <c r="AK82" s="102">
        <f t="shared" si="93"/>
        <v>0</v>
      </c>
      <c r="AL82" s="102">
        <f t="shared" si="93"/>
        <v>0</v>
      </c>
      <c r="AM82" s="102">
        <f t="shared" si="93"/>
        <v>0</v>
      </c>
      <c r="AN82" s="102">
        <f t="shared" si="93"/>
        <v>0</v>
      </c>
      <c r="AO82" s="102">
        <f t="shared" si="93"/>
        <v>0</v>
      </c>
      <c r="AP82" s="102">
        <f t="shared" si="93"/>
        <v>0</v>
      </c>
      <c r="AQ82" s="102">
        <f t="shared" si="93"/>
        <v>0</v>
      </c>
      <c r="AR82" s="102">
        <f t="shared" si="93"/>
        <v>0</v>
      </c>
      <c r="AS82" s="102">
        <f t="shared" si="93"/>
        <v>0</v>
      </c>
      <c r="AT82" s="102">
        <f t="shared" si="93"/>
        <v>0</v>
      </c>
      <c r="AU82" s="102"/>
      <c r="AV82" s="102"/>
      <c r="AW82" s="102"/>
      <c r="AX82" s="102"/>
      <c r="AY82" s="102"/>
      <c r="AZ82" s="102"/>
      <c r="BA82" s="102"/>
      <c r="BB82" s="102"/>
      <c r="BC82" s="102"/>
      <c r="BD82" s="102"/>
      <c r="BE82" s="102"/>
      <c r="BF82" s="102"/>
      <c r="BG82" s="102"/>
      <c r="BH82" s="102"/>
      <c r="BI82" s="102"/>
    </row>
    <row r="83" spans="1:61" s="17" customFormat="1" hidden="1" outlineLevel="1" x14ac:dyDescent="0.25">
      <c r="A83" s="16" t="str">
        <f t="shared" si="91"/>
        <v>Interest</v>
      </c>
      <c r="B83" s="101">
        <f t="shared" si="83"/>
        <v>0</v>
      </c>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f>+AF86*$AE$9/2</f>
        <v>0</v>
      </c>
      <c r="AG83" s="102">
        <f t="shared" ref="AG83:AT83" si="94">+AG86*$AE$9/2</f>
        <v>0</v>
      </c>
      <c r="AH83" s="102">
        <f t="shared" si="94"/>
        <v>0</v>
      </c>
      <c r="AI83" s="102">
        <f t="shared" si="94"/>
        <v>0</v>
      </c>
      <c r="AJ83" s="102">
        <f t="shared" si="94"/>
        <v>0</v>
      </c>
      <c r="AK83" s="102">
        <f t="shared" si="94"/>
        <v>0</v>
      </c>
      <c r="AL83" s="102">
        <f t="shared" si="94"/>
        <v>0</v>
      </c>
      <c r="AM83" s="102">
        <f t="shared" si="94"/>
        <v>0</v>
      </c>
      <c r="AN83" s="102">
        <f t="shared" si="94"/>
        <v>0</v>
      </c>
      <c r="AO83" s="102">
        <f t="shared" si="94"/>
        <v>0</v>
      </c>
      <c r="AP83" s="102">
        <f t="shared" si="94"/>
        <v>0</v>
      </c>
      <c r="AQ83" s="102">
        <f t="shared" si="94"/>
        <v>0</v>
      </c>
      <c r="AR83" s="102">
        <f t="shared" si="94"/>
        <v>0</v>
      </c>
      <c r="AS83" s="102">
        <f t="shared" si="94"/>
        <v>0</v>
      </c>
      <c r="AT83" s="102">
        <f t="shared" si="94"/>
        <v>0</v>
      </c>
      <c r="AU83" s="102"/>
      <c r="AV83" s="102"/>
      <c r="AW83" s="102"/>
      <c r="AX83" s="102"/>
      <c r="AY83" s="102"/>
      <c r="AZ83" s="102"/>
      <c r="BA83" s="102"/>
      <c r="BB83" s="102"/>
      <c r="BC83" s="102"/>
      <c r="BD83" s="102"/>
      <c r="BE83" s="102"/>
      <c r="BF83" s="102"/>
      <c r="BG83" s="102"/>
      <c r="BH83" s="102"/>
      <c r="BI83" s="102"/>
    </row>
    <row r="84" spans="1:61" s="17" customFormat="1" hidden="1" outlineLevel="1" x14ac:dyDescent="0.25">
      <c r="A84" s="16" t="str">
        <f t="shared" si="91"/>
        <v xml:space="preserve">Debt Servicing </v>
      </c>
      <c r="B84" s="101">
        <f t="shared" si="83"/>
        <v>0</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f>-PMT(AE9/2,AE10*2,AE8)</f>
        <v>0</v>
      </c>
      <c r="AF84" s="102">
        <f t="shared" ref="AF84:AT84" si="95">+AE84</f>
        <v>0</v>
      </c>
      <c r="AG84" s="102">
        <f t="shared" si="95"/>
        <v>0</v>
      </c>
      <c r="AH84" s="102">
        <f t="shared" si="95"/>
        <v>0</v>
      </c>
      <c r="AI84" s="102">
        <f t="shared" si="95"/>
        <v>0</v>
      </c>
      <c r="AJ84" s="102">
        <f t="shared" si="95"/>
        <v>0</v>
      </c>
      <c r="AK84" s="102">
        <f t="shared" si="95"/>
        <v>0</v>
      </c>
      <c r="AL84" s="102">
        <f t="shared" si="95"/>
        <v>0</v>
      </c>
      <c r="AM84" s="102">
        <f t="shared" si="95"/>
        <v>0</v>
      </c>
      <c r="AN84" s="102">
        <f t="shared" si="95"/>
        <v>0</v>
      </c>
      <c r="AO84" s="102">
        <f t="shared" si="95"/>
        <v>0</v>
      </c>
      <c r="AP84" s="102">
        <f t="shared" si="95"/>
        <v>0</v>
      </c>
      <c r="AQ84" s="102">
        <f t="shared" si="95"/>
        <v>0</v>
      </c>
      <c r="AR84" s="102">
        <f t="shared" si="95"/>
        <v>0</v>
      </c>
      <c r="AS84" s="102">
        <f t="shared" si="95"/>
        <v>0</v>
      </c>
      <c r="AT84" s="102">
        <f t="shared" si="95"/>
        <v>0</v>
      </c>
      <c r="AU84" s="102"/>
      <c r="AV84" s="102"/>
      <c r="AW84" s="102"/>
      <c r="AX84" s="102"/>
      <c r="AY84" s="102"/>
      <c r="AZ84" s="102"/>
      <c r="BA84" s="102"/>
      <c r="BB84" s="102"/>
      <c r="BC84" s="102"/>
      <c r="BD84" s="102"/>
      <c r="BE84" s="102"/>
      <c r="BF84" s="102"/>
      <c r="BG84" s="102"/>
      <c r="BH84" s="102"/>
      <c r="BI84" s="102"/>
    </row>
    <row r="85" spans="1:61" s="17" customFormat="1" hidden="1" outlineLevel="1" x14ac:dyDescent="0.25">
      <c r="A85" s="16" t="str">
        <f t="shared" si="91"/>
        <v xml:space="preserve">Debt Servicing </v>
      </c>
      <c r="B85" s="101">
        <f t="shared" si="83"/>
        <v>0</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f t="shared" ref="AF85:AS85" si="96">+AF84</f>
        <v>0</v>
      </c>
      <c r="AG85" s="102">
        <f t="shared" si="96"/>
        <v>0</v>
      </c>
      <c r="AH85" s="102">
        <f t="shared" si="96"/>
        <v>0</v>
      </c>
      <c r="AI85" s="102">
        <f t="shared" si="96"/>
        <v>0</v>
      </c>
      <c r="AJ85" s="102">
        <f t="shared" si="96"/>
        <v>0</v>
      </c>
      <c r="AK85" s="102">
        <f t="shared" si="96"/>
        <v>0</v>
      </c>
      <c r="AL85" s="102">
        <f t="shared" si="96"/>
        <v>0</v>
      </c>
      <c r="AM85" s="102">
        <f t="shared" si="96"/>
        <v>0</v>
      </c>
      <c r="AN85" s="102">
        <f t="shared" si="96"/>
        <v>0</v>
      </c>
      <c r="AO85" s="102">
        <f t="shared" si="96"/>
        <v>0</v>
      </c>
      <c r="AP85" s="102">
        <f t="shared" si="96"/>
        <v>0</v>
      </c>
      <c r="AQ85" s="102">
        <f t="shared" si="96"/>
        <v>0</v>
      </c>
      <c r="AR85" s="102">
        <f t="shared" si="96"/>
        <v>0</v>
      </c>
      <c r="AS85" s="102">
        <f t="shared" si="96"/>
        <v>0</v>
      </c>
      <c r="AT85" s="102"/>
      <c r="AU85" s="102"/>
      <c r="AV85" s="102"/>
      <c r="AW85" s="102"/>
      <c r="AX85" s="102"/>
      <c r="AY85" s="102"/>
      <c r="AZ85" s="102"/>
      <c r="BA85" s="102"/>
      <c r="BB85" s="102"/>
      <c r="BC85" s="102"/>
      <c r="BD85" s="102"/>
      <c r="BE85" s="102"/>
      <c r="BF85" s="102"/>
      <c r="BG85" s="102"/>
      <c r="BH85" s="102"/>
      <c r="BI85" s="102"/>
    </row>
    <row r="86" spans="1:61" s="17" customFormat="1" hidden="1" outlineLevel="1" x14ac:dyDescent="0.25">
      <c r="A86" s="16" t="str">
        <f t="shared" si="91"/>
        <v>Balance mid year</v>
      </c>
      <c r="B86" s="101">
        <f t="shared" si="83"/>
        <v>0</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f t="shared" ref="AF86:AT86" si="97">+AE87-AF80</f>
        <v>0</v>
      </c>
      <c r="AG86" s="102">
        <f t="shared" si="97"/>
        <v>0</v>
      </c>
      <c r="AH86" s="102">
        <f t="shared" si="97"/>
        <v>0</v>
      </c>
      <c r="AI86" s="102">
        <f t="shared" si="97"/>
        <v>0</v>
      </c>
      <c r="AJ86" s="102">
        <f t="shared" si="97"/>
        <v>0</v>
      </c>
      <c r="AK86" s="102">
        <f t="shared" si="97"/>
        <v>0</v>
      </c>
      <c r="AL86" s="102">
        <f t="shared" si="97"/>
        <v>0</v>
      </c>
      <c r="AM86" s="102">
        <f t="shared" si="97"/>
        <v>0</v>
      </c>
      <c r="AN86" s="102">
        <f t="shared" si="97"/>
        <v>0</v>
      </c>
      <c r="AO86" s="102">
        <f t="shared" si="97"/>
        <v>0</v>
      </c>
      <c r="AP86" s="102">
        <f t="shared" si="97"/>
        <v>0</v>
      </c>
      <c r="AQ86" s="102">
        <f t="shared" si="97"/>
        <v>0</v>
      </c>
      <c r="AR86" s="102">
        <f t="shared" si="97"/>
        <v>0</v>
      </c>
      <c r="AS86" s="102">
        <f t="shared" si="97"/>
        <v>0</v>
      </c>
      <c r="AT86" s="102">
        <f t="shared" si="97"/>
        <v>0</v>
      </c>
      <c r="AU86" s="102"/>
      <c r="AV86" s="102"/>
      <c r="AW86" s="102"/>
      <c r="AX86" s="102"/>
      <c r="AY86" s="102"/>
      <c r="AZ86" s="102"/>
      <c r="BA86" s="102"/>
      <c r="BB86" s="102"/>
      <c r="BC86" s="102"/>
      <c r="BD86" s="102"/>
      <c r="BE86" s="102"/>
      <c r="BF86" s="102"/>
      <c r="BG86" s="102"/>
      <c r="BH86" s="102"/>
      <c r="BI86" s="102"/>
    </row>
    <row r="87" spans="1:61" s="17" customFormat="1" hidden="1" outlineLevel="1" x14ac:dyDescent="0.25">
      <c r="A87" s="16" t="str">
        <f t="shared" si="91"/>
        <v>Balance</v>
      </c>
      <c r="B87" s="101">
        <f t="shared" si="83"/>
        <v>0</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f>AE79-AE80</f>
        <v>0</v>
      </c>
      <c r="AF87" s="102">
        <f t="shared" ref="AF87:AT87" si="98">+AF86-AF81</f>
        <v>0</v>
      </c>
      <c r="AG87" s="102">
        <f t="shared" si="98"/>
        <v>0</v>
      </c>
      <c r="AH87" s="102">
        <f t="shared" si="98"/>
        <v>0</v>
      </c>
      <c r="AI87" s="102">
        <f t="shared" si="98"/>
        <v>0</v>
      </c>
      <c r="AJ87" s="102">
        <f t="shared" si="98"/>
        <v>0</v>
      </c>
      <c r="AK87" s="102">
        <f t="shared" si="98"/>
        <v>0</v>
      </c>
      <c r="AL87" s="102">
        <f t="shared" si="98"/>
        <v>0</v>
      </c>
      <c r="AM87" s="102">
        <f t="shared" si="98"/>
        <v>0</v>
      </c>
      <c r="AN87" s="102">
        <f t="shared" si="98"/>
        <v>0</v>
      </c>
      <c r="AO87" s="102">
        <f t="shared" si="98"/>
        <v>0</v>
      </c>
      <c r="AP87" s="102">
        <f t="shared" si="98"/>
        <v>0</v>
      </c>
      <c r="AQ87" s="102">
        <f t="shared" si="98"/>
        <v>0</v>
      </c>
      <c r="AR87" s="102">
        <f t="shared" si="98"/>
        <v>0</v>
      </c>
      <c r="AS87" s="102">
        <f t="shared" si="98"/>
        <v>0</v>
      </c>
      <c r="AT87" s="102">
        <f t="shared" si="98"/>
        <v>0</v>
      </c>
      <c r="AU87" s="102"/>
      <c r="AV87" s="102"/>
      <c r="AW87" s="102"/>
      <c r="AX87" s="102"/>
      <c r="AY87" s="102"/>
      <c r="AZ87" s="102"/>
      <c r="BA87" s="102"/>
      <c r="BB87" s="102"/>
      <c r="BC87" s="102"/>
      <c r="BD87" s="102"/>
      <c r="BE87" s="102"/>
      <c r="BF87" s="102"/>
      <c r="BG87" s="102"/>
      <c r="BH87" s="102"/>
      <c r="BI87" s="102"/>
    </row>
    <row r="88" spans="1:61" s="17" customFormat="1" hidden="1" outlineLevel="1" x14ac:dyDescent="0.25">
      <c r="A88" s="16"/>
      <c r="B88" s="101">
        <f t="shared" si="83"/>
        <v>0</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row>
    <row r="89" spans="1:61" hidden="1" outlineLevel="1" x14ac:dyDescent="0.25">
      <c r="A89" s="20" t="str">
        <f t="shared" ref="A89:A97" si="99">A79</f>
        <v>Debt Forecasted</v>
      </c>
      <c r="B89" s="101">
        <f t="shared" si="83"/>
        <v>0</v>
      </c>
      <c r="C89" s="102">
        <v>0</v>
      </c>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f>AF8</f>
        <v>0</v>
      </c>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row>
    <row r="90" spans="1:61" s="17" customFormat="1" hidden="1" outlineLevel="1" x14ac:dyDescent="0.25">
      <c r="A90" s="16" t="str">
        <f t="shared" si="99"/>
        <v>Principal</v>
      </c>
      <c r="B90" s="101">
        <f t="shared" si="83"/>
        <v>0</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f t="shared" ref="AF90:AU91" si="100">+AF94-AF92</f>
        <v>0</v>
      </c>
      <c r="AG90" s="102">
        <f t="shared" si="100"/>
        <v>0</v>
      </c>
      <c r="AH90" s="102">
        <f t="shared" si="100"/>
        <v>0</v>
      </c>
      <c r="AI90" s="102">
        <f t="shared" si="100"/>
        <v>0</v>
      </c>
      <c r="AJ90" s="102">
        <f t="shared" si="100"/>
        <v>0</v>
      </c>
      <c r="AK90" s="102">
        <f t="shared" si="100"/>
        <v>0</v>
      </c>
      <c r="AL90" s="102">
        <f t="shared" si="100"/>
        <v>0</v>
      </c>
      <c r="AM90" s="102">
        <f t="shared" si="100"/>
        <v>0</v>
      </c>
      <c r="AN90" s="102">
        <f t="shared" si="100"/>
        <v>0</v>
      </c>
      <c r="AO90" s="102">
        <f t="shared" si="100"/>
        <v>0</v>
      </c>
      <c r="AP90" s="102">
        <f t="shared" si="100"/>
        <v>0</v>
      </c>
      <c r="AQ90" s="102">
        <f t="shared" si="100"/>
        <v>0</v>
      </c>
      <c r="AR90" s="102">
        <f t="shared" si="100"/>
        <v>0</v>
      </c>
      <c r="AS90" s="102">
        <f t="shared" si="100"/>
        <v>0</v>
      </c>
      <c r="AT90" s="102">
        <f t="shared" si="100"/>
        <v>0</v>
      </c>
      <c r="AU90" s="102">
        <f t="shared" si="100"/>
        <v>0</v>
      </c>
      <c r="AV90" s="102"/>
      <c r="AW90" s="102"/>
      <c r="AX90" s="102"/>
      <c r="AY90" s="102"/>
      <c r="AZ90" s="102"/>
      <c r="BA90" s="102"/>
      <c r="BB90" s="102"/>
      <c r="BC90" s="102"/>
      <c r="BD90" s="102"/>
      <c r="BE90" s="102"/>
      <c r="BF90" s="102"/>
      <c r="BG90" s="102"/>
      <c r="BH90" s="102"/>
      <c r="BI90" s="102"/>
    </row>
    <row r="91" spans="1:61" s="17" customFormat="1" hidden="1" outlineLevel="1" x14ac:dyDescent="0.25">
      <c r="A91" s="16" t="str">
        <f t="shared" si="99"/>
        <v>Principal</v>
      </c>
      <c r="B91" s="101">
        <f t="shared" si="83"/>
        <v>0</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f t="shared" si="100"/>
        <v>0</v>
      </c>
      <c r="AH91" s="102">
        <f t="shared" si="100"/>
        <v>0</v>
      </c>
      <c r="AI91" s="102">
        <f t="shared" si="100"/>
        <v>0</v>
      </c>
      <c r="AJ91" s="102">
        <f t="shared" si="100"/>
        <v>0</v>
      </c>
      <c r="AK91" s="102">
        <f t="shared" si="100"/>
        <v>0</v>
      </c>
      <c r="AL91" s="102">
        <f t="shared" si="100"/>
        <v>0</v>
      </c>
      <c r="AM91" s="102">
        <f t="shared" si="100"/>
        <v>0</v>
      </c>
      <c r="AN91" s="102">
        <f t="shared" si="100"/>
        <v>0</v>
      </c>
      <c r="AO91" s="102">
        <f t="shared" si="100"/>
        <v>0</v>
      </c>
      <c r="AP91" s="102">
        <f t="shared" si="100"/>
        <v>0</v>
      </c>
      <c r="AQ91" s="102">
        <f t="shared" si="100"/>
        <v>0</v>
      </c>
      <c r="AR91" s="102">
        <f t="shared" si="100"/>
        <v>0</v>
      </c>
      <c r="AS91" s="102">
        <f t="shared" si="100"/>
        <v>0</v>
      </c>
      <c r="AT91" s="102">
        <f t="shared" si="100"/>
        <v>0</v>
      </c>
      <c r="AU91" s="102">
        <f t="shared" si="100"/>
        <v>0</v>
      </c>
      <c r="AV91" s="102"/>
      <c r="AW91" s="102"/>
      <c r="AX91" s="102"/>
      <c r="AY91" s="102"/>
      <c r="AZ91" s="102"/>
      <c r="BA91" s="102"/>
      <c r="BB91" s="102"/>
      <c r="BC91" s="102"/>
      <c r="BD91" s="102"/>
      <c r="BE91" s="102"/>
      <c r="BF91" s="102"/>
      <c r="BG91" s="102"/>
      <c r="BH91" s="102"/>
      <c r="BI91" s="102"/>
    </row>
    <row r="92" spans="1:61" s="17" customFormat="1" hidden="1" outlineLevel="1" x14ac:dyDescent="0.25">
      <c r="A92" s="16" t="str">
        <f t="shared" si="99"/>
        <v>Interest</v>
      </c>
      <c r="B92" s="101">
        <f t="shared" si="83"/>
        <v>0</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f>AF89*AF9/2</f>
        <v>0</v>
      </c>
      <c r="AG92" s="102">
        <f>+AF97*$AF$9/2</f>
        <v>0</v>
      </c>
      <c r="AH92" s="102">
        <f t="shared" ref="AH92:AU92" si="101">+AG97*$AF$9/2</f>
        <v>0</v>
      </c>
      <c r="AI92" s="102">
        <f t="shared" si="101"/>
        <v>0</v>
      </c>
      <c r="AJ92" s="102">
        <f t="shared" si="101"/>
        <v>0</v>
      </c>
      <c r="AK92" s="102">
        <f t="shared" si="101"/>
        <v>0</v>
      </c>
      <c r="AL92" s="102">
        <f t="shared" si="101"/>
        <v>0</v>
      </c>
      <c r="AM92" s="102">
        <f t="shared" si="101"/>
        <v>0</v>
      </c>
      <c r="AN92" s="102">
        <f t="shared" si="101"/>
        <v>0</v>
      </c>
      <c r="AO92" s="102">
        <f t="shared" si="101"/>
        <v>0</v>
      </c>
      <c r="AP92" s="102">
        <f t="shared" si="101"/>
        <v>0</v>
      </c>
      <c r="AQ92" s="102">
        <f t="shared" si="101"/>
        <v>0</v>
      </c>
      <c r="AR92" s="102">
        <f t="shared" si="101"/>
        <v>0</v>
      </c>
      <c r="AS92" s="102">
        <f t="shared" si="101"/>
        <v>0</v>
      </c>
      <c r="AT92" s="102">
        <f t="shared" si="101"/>
        <v>0</v>
      </c>
      <c r="AU92" s="102">
        <f t="shared" si="101"/>
        <v>0</v>
      </c>
      <c r="AV92" s="102"/>
      <c r="AW92" s="102"/>
      <c r="AX92" s="102"/>
      <c r="AY92" s="102"/>
      <c r="AZ92" s="102"/>
      <c r="BA92" s="102"/>
      <c r="BB92" s="102"/>
      <c r="BC92" s="102"/>
      <c r="BD92" s="102"/>
      <c r="BE92" s="102"/>
      <c r="BF92" s="102"/>
      <c r="BG92" s="102"/>
      <c r="BH92" s="102"/>
      <c r="BI92" s="102"/>
    </row>
    <row r="93" spans="1:61" s="17" customFormat="1" hidden="1" outlineLevel="1" x14ac:dyDescent="0.25">
      <c r="A93" s="16" t="str">
        <f t="shared" si="99"/>
        <v>Interest</v>
      </c>
      <c r="B93" s="101">
        <f t="shared" si="83"/>
        <v>0</v>
      </c>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f>+AG96*$AF$9/2</f>
        <v>0</v>
      </c>
      <c r="AH93" s="102">
        <f t="shared" ref="AH93:AU93" si="102">+AH96*$AF$9/2</f>
        <v>0</v>
      </c>
      <c r="AI93" s="102">
        <f t="shared" si="102"/>
        <v>0</v>
      </c>
      <c r="AJ93" s="102">
        <f t="shared" si="102"/>
        <v>0</v>
      </c>
      <c r="AK93" s="102">
        <f t="shared" si="102"/>
        <v>0</v>
      </c>
      <c r="AL93" s="102">
        <f t="shared" si="102"/>
        <v>0</v>
      </c>
      <c r="AM93" s="102">
        <f t="shared" si="102"/>
        <v>0</v>
      </c>
      <c r="AN93" s="102">
        <f t="shared" si="102"/>
        <v>0</v>
      </c>
      <c r="AO93" s="102">
        <f t="shared" si="102"/>
        <v>0</v>
      </c>
      <c r="AP93" s="102">
        <f t="shared" si="102"/>
        <v>0</v>
      </c>
      <c r="AQ93" s="102">
        <f t="shared" si="102"/>
        <v>0</v>
      </c>
      <c r="AR93" s="102">
        <f t="shared" si="102"/>
        <v>0</v>
      </c>
      <c r="AS93" s="102">
        <f t="shared" si="102"/>
        <v>0</v>
      </c>
      <c r="AT93" s="102">
        <f t="shared" si="102"/>
        <v>0</v>
      </c>
      <c r="AU93" s="102">
        <f t="shared" si="102"/>
        <v>0</v>
      </c>
      <c r="AV93" s="102"/>
      <c r="AW93" s="102"/>
      <c r="AX93" s="102"/>
      <c r="AY93" s="102"/>
      <c r="AZ93" s="102"/>
      <c r="BA93" s="102"/>
      <c r="BB93" s="102"/>
      <c r="BC93" s="102"/>
      <c r="BD93" s="102"/>
      <c r="BE93" s="102"/>
      <c r="BF93" s="102"/>
      <c r="BG93" s="102"/>
      <c r="BH93" s="102"/>
      <c r="BI93" s="102"/>
    </row>
    <row r="94" spans="1:61" s="17" customFormat="1" hidden="1" outlineLevel="1" x14ac:dyDescent="0.25">
      <c r="A94" s="16" t="str">
        <f t="shared" si="99"/>
        <v xml:space="preserve">Debt Servicing </v>
      </c>
      <c r="B94" s="101">
        <f t="shared" si="83"/>
        <v>0</v>
      </c>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f>-PMT(AF9/2,AF10*2,AF8)</f>
        <v>0</v>
      </c>
      <c r="AG94" s="102">
        <f t="shared" ref="AG94:AU94" si="103">+AF94</f>
        <v>0</v>
      </c>
      <c r="AH94" s="102">
        <f t="shared" si="103"/>
        <v>0</v>
      </c>
      <c r="AI94" s="102">
        <f t="shared" si="103"/>
        <v>0</v>
      </c>
      <c r="AJ94" s="102">
        <f t="shared" si="103"/>
        <v>0</v>
      </c>
      <c r="AK94" s="102">
        <f t="shared" si="103"/>
        <v>0</v>
      </c>
      <c r="AL94" s="102">
        <f t="shared" si="103"/>
        <v>0</v>
      </c>
      <c r="AM94" s="102">
        <f t="shared" si="103"/>
        <v>0</v>
      </c>
      <c r="AN94" s="102">
        <f t="shared" si="103"/>
        <v>0</v>
      </c>
      <c r="AO94" s="102">
        <f t="shared" si="103"/>
        <v>0</v>
      </c>
      <c r="AP94" s="102">
        <f t="shared" si="103"/>
        <v>0</v>
      </c>
      <c r="AQ94" s="102">
        <f t="shared" si="103"/>
        <v>0</v>
      </c>
      <c r="AR94" s="102">
        <f t="shared" si="103"/>
        <v>0</v>
      </c>
      <c r="AS94" s="102">
        <f t="shared" si="103"/>
        <v>0</v>
      </c>
      <c r="AT94" s="102">
        <f t="shared" si="103"/>
        <v>0</v>
      </c>
      <c r="AU94" s="102">
        <f t="shared" si="103"/>
        <v>0</v>
      </c>
      <c r="AV94" s="102"/>
      <c r="AW94" s="102"/>
      <c r="AX94" s="102"/>
      <c r="AY94" s="102"/>
      <c r="AZ94" s="102"/>
      <c r="BA94" s="102"/>
      <c r="BB94" s="102"/>
      <c r="BC94" s="102"/>
      <c r="BD94" s="102"/>
      <c r="BE94" s="102"/>
      <c r="BF94" s="102"/>
      <c r="BG94" s="102"/>
      <c r="BH94" s="102"/>
      <c r="BI94" s="102"/>
    </row>
    <row r="95" spans="1:61" s="17" customFormat="1" hidden="1" outlineLevel="1" x14ac:dyDescent="0.25">
      <c r="A95" s="16" t="str">
        <f t="shared" si="99"/>
        <v xml:space="preserve">Debt Servicing </v>
      </c>
      <c r="B95" s="101">
        <f t="shared" si="83"/>
        <v>0</v>
      </c>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f t="shared" ref="AG95:AT95" si="104">+AG94</f>
        <v>0</v>
      </c>
      <c r="AH95" s="102">
        <f t="shared" si="104"/>
        <v>0</v>
      </c>
      <c r="AI95" s="102">
        <f t="shared" si="104"/>
        <v>0</v>
      </c>
      <c r="AJ95" s="102">
        <f t="shared" si="104"/>
        <v>0</v>
      </c>
      <c r="AK95" s="102">
        <f t="shared" si="104"/>
        <v>0</v>
      </c>
      <c r="AL95" s="102">
        <f t="shared" si="104"/>
        <v>0</v>
      </c>
      <c r="AM95" s="102">
        <f t="shared" si="104"/>
        <v>0</v>
      </c>
      <c r="AN95" s="102">
        <f t="shared" si="104"/>
        <v>0</v>
      </c>
      <c r="AO95" s="102">
        <f t="shared" si="104"/>
        <v>0</v>
      </c>
      <c r="AP95" s="102">
        <f t="shared" si="104"/>
        <v>0</v>
      </c>
      <c r="AQ95" s="102">
        <f t="shared" si="104"/>
        <v>0</v>
      </c>
      <c r="AR95" s="102">
        <f t="shared" si="104"/>
        <v>0</v>
      </c>
      <c r="AS95" s="102">
        <f t="shared" si="104"/>
        <v>0</v>
      </c>
      <c r="AT95" s="102">
        <f t="shared" si="104"/>
        <v>0</v>
      </c>
      <c r="AU95" s="102"/>
      <c r="AV95" s="102"/>
      <c r="AW95" s="102"/>
      <c r="AX95" s="102"/>
      <c r="AY95" s="102"/>
      <c r="AZ95" s="102"/>
      <c r="BA95" s="102"/>
      <c r="BB95" s="102"/>
      <c r="BC95" s="102"/>
      <c r="BD95" s="102"/>
      <c r="BE95" s="102"/>
      <c r="BF95" s="102"/>
      <c r="BG95" s="102"/>
      <c r="BH95" s="102"/>
      <c r="BI95" s="102"/>
    </row>
    <row r="96" spans="1:61" s="17" customFormat="1" hidden="1" outlineLevel="1" x14ac:dyDescent="0.25">
      <c r="A96" s="16" t="str">
        <f t="shared" si="99"/>
        <v>Balance mid year</v>
      </c>
      <c r="B96" s="101">
        <f t="shared" si="83"/>
        <v>0</v>
      </c>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f t="shared" ref="AG96:AU96" si="105">+AF97-AG90</f>
        <v>0</v>
      </c>
      <c r="AH96" s="102">
        <f t="shared" si="105"/>
        <v>0</v>
      </c>
      <c r="AI96" s="102">
        <f t="shared" si="105"/>
        <v>0</v>
      </c>
      <c r="AJ96" s="102">
        <f t="shared" si="105"/>
        <v>0</v>
      </c>
      <c r="AK96" s="102">
        <f t="shared" si="105"/>
        <v>0</v>
      </c>
      <c r="AL96" s="102">
        <f t="shared" si="105"/>
        <v>0</v>
      </c>
      <c r="AM96" s="102">
        <f t="shared" si="105"/>
        <v>0</v>
      </c>
      <c r="AN96" s="102">
        <f t="shared" si="105"/>
        <v>0</v>
      </c>
      <c r="AO96" s="102">
        <f t="shared" si="105"/>
        <v>0</v>
      </c>
      <c r="AP96" s="102">
        <f t="shared" si="105"/>
        <v>0</v>
      </c>
      <c r="AQ96" s="102">
        <f t="shared" si="105"/>
        <v>0</v>
      </c>
      <c r="AR96" s="102">
        <f t="shared" si="105"/>
        <v>0</v>
      </c>
      <c r="AS96" s="102">
        <f t="shared" si="105"/>
        <v>0</v>
      </c>
      <c r="AT96" s="102">
        <f t="shared" si="105"/>
        <v>0</v>
      </c>
      <c r="AU96" s="102">
        <f t="shared" si="105"/>
        <v>0</v>
      </c>
      <c r="AV96" s="102"/>
      <c r="AW96" s="102"/>
      <c r="AX96" s="102"/>
      <c r="AY96" s="102"/>
      <c r="AZ96" s="102"/>
      <c r="BA96" s="102"/>
      <c r="BB96" s="102"/>
      <c r="BC96" s="102"/>
      <c r="BD96" s="102"/>
      <c r="BE96" s="102"/>
      <c r="BF96" s="102"/>
      <c r="BG96" s="102"/>
      <c r="BH96" s="102"/>
      <c r="BI96" s="102"/>
    </row>
    <row r="97" spans="1:61" s="17" customFormat="1" hidden="1" outlineLevel="1" x14ac:dyDescent="0.25">
      <c r="A97" s="16" t="str">
        <f t="shared" si="99"/>
        <v>Balance</v>
      </c>
      <c r="B97" s="101">
        <f t="shared" si="83"/>
        <v>0</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f>AF89-AF90</f>
        <v>0</v>
      </c>
      <c r="AG97" s="102">
        <f t="shared" ref="AG97:AU97" si="106">+AG96-AG91</f>
        <v>0</v>
      </c>
      <c r="AH97" s="102">
        <f t="shared" si="106"/>
        <v>0</v>
      </c>
      <c r="AI97" s="102">
        <f t="shared" si="106"/>
        <v>0</v>
      </c>
      <c r="AJ97" s="102">
        <f t="shared" si="106"/>
        <v>0</v>
      </c>
      <c r="AK97" s="102">
        <f t="shared" si="106"/>
        <v>0</v>
      </c>
      <c r="AL97" s="102">
        <f t="shared" si="106"/>
        <v>0</v>
      </c>
      <c r="AM97" s="102">
        <f t="shared" si="106"/>
        <v>0</v>
      </c>
      <c r="AN97" s="102">
        <f t="shared" si="106"/>
        <v>0</v>
      </c>
      <c r="AO97" s="102">
        <f t="shared" si="106"/>
        <v>0</v>
      </c>
      <c r="AP97" s="102">
        <f t="shared" si="106"/>
        <v>0</v>
      </c>
      <c r="AQ97" s="102">
        <f t="shared" si="106"/>
        <v>0</v>
      </c>
      <c r="AR97" s="102">
        <f t="shared" si="106"/>
        <v>0</v>
      </c>
      <c r="AS97" s="102">
        <f t="shared" si="106"/>
        <v>0</v>
      </c>
      <c r="AT97" s="102">
        <f t="shared" si="106"/>
        <v>0</v>
      </c>
      <c r="AU97" s="102">
        <f t="shared" si="106"/>
        <v>0</v>
      </c>
      <c r="AV97" s="102"/>
      <c r="AW97" s="102"/>
      <c r="AX97" s="102"/>
      <c r="AY97" s="102"/>
      <c r="AZ97" s="102"/>
      <c r="BA97" s="102"/>
      <c r="BB97" s="102"/>
      <c r="BC97" s="102"/>
      <c r="BD97" s="102"/>
      <c r="BE97" s="102"/>
      <c r="BF97" s="102"/>
      <c r="BG97" s="102"/>
      <c r="BH97" s="102"/>
      <c r="BI97" s="102"/>
    </row>
    <row r="98" spans="1:61" s="17" customFormat="1" hidden="1" outlineLevel="1" x14ac:dyDescent="0.25">
      <c r="A98" s="16"/>
      <c r="B98" s="101"/>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row>
    <row r="99" spans="1:61" hidden="1" outlineLevel="1" x14ac:dyDescent="0.25">
      <c r="A99" s="20" t="str">
        <f t="shared" ref="A99:A107" si="107">A89</f>
        <v>Debt Forecasted</v>
      </c>
      <c r="B99" s="101">
        <f t="shared" ref="B99:B117" si="108">SUM(C99:BB99)</f>
        <v>0</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f>AG8</f>
        <v>0</v>
      </c>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row>
    <row r="100" spans="1:61" s="17" customFormat="1" hidden="1" outlineLevel="1" x14ac:dyDescent="0.25">
      <c r="A100" s="16" t="str">
        <f t="shared" si="107"/>
        <v>Principal</v>
      </c>
      <c r="B100" s="101">
        <f t="shared" si="108"/>
        <v>0</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f t="shared" ref="AG100:AV101" si="109">+AG104-AG102</f>
        <v>0</v>
      </c>
      <c r="AH100" s="102">
        <f t="shared" si="109"/>
        <v>0</v>
      </c>
      <c r="AI100" s="102">
        <f t="shared" si="109"/>
        <v>0</v>
      </c>
      <c r="AJ100" s="102">
        <f t="shared" si="109"/>
        <v>0</v>
      </c>
      <c r="AK100" s="102">
        <f t="shared" si="109"/>
        <v>0</v>
      </c>
      <c r="AL100" s="102">
        <f t="shared" si="109"/>
        <v>0</v>
      </c>
      <c r="AM100" s="102">
        <f t="shared" si="109"/>
        <v>0</v>
      </c>
      <c r="AN100" s="102">
        <f t="shared" si="109"/>
        <v>0</v>
      </c>
      <c r="AO100" s="102">
        <f t="shared" si="109"/>
        <v>0</v>
      </c>
      <c r="AP100" s="102">
        <f t="shared" si="109"/>
        <v>0</v>
      </c>
      <c r="AQ100" s="102">
        <f t="shared" si="109"/>
        <v>0</v>
      </c>
      <c r="AR100" s="102">
        <f t="shared" si="109"/>
        <v>0</v>
      </c>
      <c r="AS100" s="102">
        <f t="shared" si="109"/>
        <v>0</v>
      </c>
      <c r="AT100" s="102">
        <f t="shared" si="109"/>
        <v>0</v>
      </c>
      <c r="AU100" s="102">
        <f t="shared" si="109"/>
        <v>0</v>
      </c>
      <c r="AV100" s="102">
        <f t="shared" si="109"/>
        <v>0</v>
      </c>
      <c r="AW100" s="102"/>
      <c r="AX100" s="102"/>
      <c r="AY100" s="102"/>
      <c r="AZ100" s="102"/>
      <c r="BA100" s="102"/>
      <c r="BB100" s="102"/>
      <c r="BC100" s="102"/>
      <c r="BD100" s="102"/>
      <c r="BE100" s="102"/>
      <c r="BF100" s="102"/>
      <c r="BG100" s="102"/>
      <c r="BH100" s="102"/>
      <c r="BI100" s="102"/>
    </row>
    <row r="101" spans="1:61" s="17" customFormat="1" hidden="1" outlineLevel="1" x14ac:dyDescent="0.25">
      <c r="A101" s="16" t="str">
        <f t="shared" si="107"/>
        <v>Principal</v>
      </c>
      <c r="B101" s="101">
        <f t="shared" si="108"/>
        <v>0</v>
      </c>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f t="shared" si="109"/>
        <v>0</v>
      </c>
      <c r="AI101" s="102">
        <f t="shared" si="109"/>
        <v>0</v>
      </c>
      <c r="AJ101" s="102">
        <f t="shared" si="109"/>
        <v>0</v>
      </c>
      <c r="AK101" s="102">
        <f t="shared" si="109"/>
        <v>0</v>
      </c>
      <c r="AL101" s="102">
        <f t="shared" si="109"/>
        <v>0</v>
      </c>
      <c r="AM101" s="102">
        <f t="shared" si="109"/>
        <v>0</v>
      </c>
      <c r="AN101" s="102">
        <f t="shared" si="109"/>
        <v>0</v>
      </c>
      <c r="AO101" s="102">
        <f t="shared" si="109"/>
        <v>0</v>
      </c>
      <c r="AP101" s="102">
        <f t="shared" si="109"/>
        <v>0</v>
      </c>
      <c r="AQ101" s="102">
        <f t="shared" si="109"/>
        <v>0</v>
      </c>
      <c r="AR101" s="102">
        <f t="shared" si="109"/>
        <v>0</v>
      </c>
      <c r="AS101" s="102">
        <f t="shared" si="109"/>
        <v>0</v>
      </c>
      <c r="AT101" s="102">
        <f t="shared" si="109"/>
        <v>0</v>
      </c>
      <c r="AU101" s="102">
        <f t="shared" si="109"/>
        <v>0</v>
      </c>
      <c r="AV101" s="102">
        <f t="shared" si="109"/>
        <v>0</v>
      </c>
      <c r="AW101" s="102"/>
      <c r="AX101" s="102"/>
      <c r="AY101" s="102"/>
      <c r="AZ101" s="102"/>
      <c r="BA101" s="102"/>
      <c r="BB101" s="102"/>
      <c r="BC101" s="102"/>
      <c r="BD101" s="102"/>
      <c r="BE101" s="102"/>
      <c r="BF101" s="102"/>
      <c r="BG101" s="102"/>
      <c r="BH101" s="102"/>
      <c r="BI101" s="102"/>
    </row>
    <row r="102" spans="1:61" s="17" customFormat="1" hidden="1" outlineLevel="1" x14ac:dyDescent="0.25">
      <c r="A102" s="16" t="str">
        <f t="shared" si="107"/>
        <v>Interest</v>
      </c>
      <c r="B102" s="101">
        <f t="shared" si="108"/>
        <v>0</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f>AG8*AG9/2</f>
        <v>0</v>
      </c>
      <c r="AH102" s="102">
        <f>+AG107*$AG$9/2</f>
        <v>0</v>
      </c>
      <c r="AI102" s="102">
        <f t="shared" ref="AI102:AV102" si="110">+AH107*$AG$9/2</f>
        <v>0</v>
      </c>
      <c r="AJ102" s="102">
        <f t="shared" si="110"/>
        <v>0</v>
      </c>
      <c r="AK102" s="102">
        <f t="shared" si="110"/>
        <v>0</v>
      </c>
      <c r="AL102" s="102">
        <f t="shared" si="110"/>
        <v>0</v>
      </c>
      <c r="AM102" s="102">
        <f t="shared" si="110"/>
        <v>0</v>
      </c>
      <c r="AN102" s="102">
        <f t="shared" si="110"/>
        <v>0</v>
      </c>
      <c r="AO102" s="102">
        <f t="shared" si="110"/>
        <v>0</v>
      </c>
      <c r="AP102" s="102">
        <f t="shared" si="110"/>
        <v>0</v>
      </c>
      <c r="AQ102" s="102">
        <f t="shared" si="110"/>
        <v>0</v>
      </c>
      <c r="AR102" s="102">
        <f t="shared" si="110"/>
        <v>0</v>
      </c>
      <c r="AS102" s="102">
        <f t="shared" si="110"/>
        <v>0</v>
      </c>
      <c r="AT102" s="102">
        <f t="shared" si="110"/>
        <v>0</v>
      </c>
      <c r="AU102" s="102">
        <f t="shared" si="110"/>
        <v>0</v>
      </c>
      <c r="AV102" s="102">
        <f t="shared" si="110"/>
        <v>0</v>
      </c>
      <c r="AW102" s="102"/>
      <c r="AX102" s="102"/>
      <c r="AY102" s="102"/>
      <c r="AZ102" s="102"/>
      <c r="BA102" s="102"/>
      <c r="BB102" s="102"/>
      <c r="BC102" s="102"/>
      <c r="BD102" s="102"/>
      <c r="BE102" s="102"/>
      <c r="BF102" s="102"/>
      <c r="BG102" s="102"/>
      <c r="BH102" s="102"/>
      <c r="BI102" s="102"/>
    </row>
    <row r="103" spans="1:61" s="17" customFormat="1" hidden="1" outlineLevel="1" x14ac:dyDescent="0.25">
      <c r="A103" s="16" t="str">
        <f t="shared" si="107"/>
        <v>Interest</v>
      </c>
      <c r="B103" s="101">
        <f t="shared" si="108"/>
        <v>0</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f>+AH106*$AG$9/2</f>
        <v>0</v>
      </c>
      <c r="AI103" s="102">
        <f t="shared" ref="AI103:AV103" si="111">+AI106*$AG$9/2</f>
        <v>0</v>
      </c>
      <c r="AJ103" s="102">
        <f t="shared" si="111"/>
        <v>0</v>
      </c>
      <c r="AK103" s="102">
        <f t="shared" si="111"/>
        <v>0</v>
      </c>
      <c r="AL103" s="102">
        <f t="shared" si="111"/>
        <v>0</v>
      </c>
      <c r="AM103" s="102">
        <f t="shared" si="111"/>
        <v>0</v>
      </c>
      <c r="AN103" s="102">
        <f t="shared" si="111"/>
        <v>0</v>
      </c>
      <c r="AO103" s="102">
        <f t="shared" si="111"/>
        <v>0</v>
      </c>
      <c r="AP103" s="102">
        <f t="shared" si="111"/>
        <v>0</v>
      </c>
      <c r="AQ103" s="102">
        <f t="shared" si="111"/>
        <v>0</v>
      </c>
      <c r="AR103" s="102">
        <f t="shared" si="111"/>
        <v>0</v>
      </c>
      <c r="AS103" s="102">
        <f t="shared" si="111"/>
        <v>0</v>
      </c>
      <c r="AT103" s="102">
        <f t="shared" si="111"/>
        <v>0</v>
      </c>
      <c r="AU103" s="102">
        <f t="shared" si="111"/>
        <v>0</v>
      </c>
      <c r="AV103" s="102">
        <f t="shared" si="111"/>
        <v>0</v>
      </c>
      <c r="AW103" s="102"/>
      <c r="AX103" s="102"/>
      <c r="AY103" s="102"/>
      <c r="AZ103" s="102"/>
      <c r="BA103" s="102"/>
      <c r="BB103" s="102"/>
      <c r="BC103" s="102"/>
      <c r="BD103" s="102"/>
      <c r="BE103" s="102"/>
      <c r="BF103" s="102"/>
      <c r="BG103" s="102"/>
      <c r="BH103" s="102"/>
      <c r="BI103" s="102"/>
    </row>
    <row r="104" spans="1:61" s="17" customFormat="1" hidden="1" outlineLevel="1" x14ac:dyDescent="0.25">
      <c r="A104" s="16" t="str">
        <f t="shared" si="107"/>
        <v xml:space="preserve">Debt Servicing </v>
      </c>
      <c r="B104" s="101">
        <f t="shared" si="108"/>
        <v>0</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f>-PMT(AG9/2,AG10*2,AG8)</f>
        <v>0</v>
      </c>
      <c r="AH104" s="102">
        <f t="shared" ref="AH104:AV104" si="112">+AG104</f>
        <v>0</v>
      </c>
      <c r="AI104" s="102">
        <f t="shared" si="112"/>
        <v>0</v>
      </c>
      <c r="AJ104" s="102">
        <f t="shared" si="112"/>
        <v>0</v>
      </c>
      <c r="AK104" s="102">
        <f t="shared" si="112"/>
        <v>0</v>
      </c>
      <c r="AL104" s="102">
        <f t="shared" si="112"/>
        <v>0</v>
      </c>
      <c r="AM104" s="102">
        <f t="shared" si="112"/>
        <v>0</v>
      </c>
      <c r="AN104" s="102">
        <f t="shared" si="112"/>
        <v>0</v>
      </c>
      <c r="AO104" s="102">
        <f t="shared" si="112"/>
        <v>0</v>
      </c>
      <c r="AP104" s="102">
        <f t="shared" si="112"/>
        <v>0</v>
      </c>
      <c r="AQ104" s="102">
        <f t="shared" si="112"/>
        <v>0</v>
      </c>
      <c r="AR104" s="102">
        <f t="shared" si="112"/>
        <v>0</v>
      </c>
      <c r="AS104" s="102">
        <f t="shared" si="112"/>
        <v>0</v>
      </c>
      <c r="AT104" s="102">
        <f t="shared" si="112"/>
        <v>0</v>
      </c>
      <c r="AU104" s="102">
        <f t="shared" si="112"/>
        <v>0</v>
      </c>
      <c r="AV104" s="102">
        <f t="shared" si="112"/>
        <v>0</v>
      </c>
      <c r="AW104" s="102"/>
      <c r="AX104" s="102"/>
      <c r="AY104" s="102"/>
      <c r="AZ104" s="102"/>
      <c r="BA104" s="102"/>
      <c r="BB104" s="102"/>
      <c r="BC104" s="102"/>
      <c r="BD104" s="102"/>
      <c r="BE104" s="102"/>
      <c r="BF104" s="102"/>
      <c r="BG104" s="102"/>
      <c r="BH104" s="102"/>
      <c r="BI104" s="102"/>
    </row>
    <row r="105" spans="1:61" s="17" customFormat="1" hidden="1" outlineLevel="1" x14ac:dyDescent="0.25">
      <c r="A105" s="16" t="str">
        <f t="shared" si="107"/>
        <v xml:space="preserve">Debt Servicing </v>
      </c>
      <c r="B105" s="101">
        <f t="shared" si="108"/>
        <v>0</v>
      </c>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f t="shared" ref="AH105:AU105" si="113">+AH104</f>
        <v>0</v>
      </c>
      <c r="AI105" s="102">
        <f t="shared" si="113"/>
        <v>0</v>
      </c>
      <c r="AJ105" s="102">
        <f t="shared" si="113"/>
        <v>0</v>
      </c>
      <c r="AK105" s="102">
        <f t="shared" si="113"/>
        <v>0</v>
      </c>
      <c r="AL105" s="102">
        <f t="shared" si="113"/>
        <v>0</v>
      </c>
      <c r="AM105" s="102">
        <f t="shared" si="113"/>
        <v>0</v>
      </c>
      <c r="AN105" s="102">
        <f t="shared" si="113"/>
        <v>0</v>
      </c>
      <c r="AO105" s="102">
        <f t="shared" si="113"/>
        <v>0</v>
      </c>
      <c r="AP105" s="102">
        <f t="shared" si="113"/>
        <v>0</v>
      </c>
      <c r="AQ105" s="102">
        <f t="shared" si="113"/>
        <v>0</v>
      </c>
      <c r="AR105" s="102">
        <f t="shared" si="113"/>
        <v>0</v>
      </c>
      <c r="AS105" s="102">
        <f t="shared" si="113"/>
        <v>0</v>
      </c>
      <c r="AT105" s="102">
        <f t="shared" si="113"/>
        <v>0</v>
      </c>
      <c r="AU105" s="102">
        <f t="shared" si="113"/>
        <v>0</v>
      </c>
      <c r="AV105" s="102"/>
      <c r="AW105" s="102"/>
      <c r="AX105" s="102"/>
      <c r="AY105" s="102"/>
      <c r="AZ105" s="102"/>
      <c r="BA105" s="102"/>
      <c r="BB105" s="102"/>
      <c r="BC105" s="102"/>
      <c r="BD105" s="102"/>
      <c r="BE105" s="102"/>
      <c r="BF105" s="102"/>
      <c r="BG105" s="102"/>
      <c r="BH105" s="102"/>
      <c r="BI105" s="102"/>
    </row>
    <row r="106" spans="1:61" s="17" customFormat="1" hidden="1" outlineLevel="1" x14ac:dyDescent="0.25">
      <c r="A106" s="16" t="str">
        <f t="shared" si="107"/>
        <v>Balance mid year</v>
      </c>
      <c r="B106" s="101">
        <f t="shared" si="108"/>
        <v>0</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f t="shared" ref="AH106:AV106" si="114">+AG107-AH100</f>
        <v>0</v>
      </c>
      <c r="AI106" s="102">
        <f t="shared" si="114"/>
        <v>0</v>
      </c>
      <c r="AJ106" s="102">
        <f t="shared" si="114"/>
        <v>0</v>
      </c>
      <c r="AK106" s="102">
        <f t="shared" si="114"/>
        <v>0</v>
      </c>
      <c r="AL106" s="102">
        <f t="shared" si="114"/>
        <v>0</v>
      </c>
      <c r="AM106" s="102">
        <f t="shared" si="114"/>
        <v>0</v>
      </c>
      <c r="AN106" s="102">
        <f t="shared" si="114"/>
        <v>0</v>
      </c>
      <c r="AO106" s="102">
        <f t="shared" si="114"/>
        <v>0</v>
      </c>
      <c r="AP106" s="102">
        <f t="shared" si="114"/>
        <v>0</v>
      </c>
      <c r="AQ106" s="102">
        <f t="shared" si="114"/>
        <v>0</v>
      </c>
      <c r="AR106" s="102">
        <f t="shared" si="114"/>
        <v>0</v>
      </c>
      <c r="AS106" s="102">
        <f t="shared" si="114"/>
        <v>0</v>
      </c>
      <c r="AT106" s="102">
        <f t="shared" si="114"/>
        <v>0</v>
      </c>
      <c r="AU106" s="102">
        <f t="shared" si="114"/>
        <v>0</v>
      </c>
      <c r="AV106" s="102">
        <f t="shared" si="114"/>
        <v>0</v>
      </c>
      <c r="AW106" s="102"/>
      <c r="AX106" s="102"/>
      <c r="AY106" s="102"/>
      <c r="AZ106" s="102"/>
      <c r="BA106" s="102"/>
      <c r="BB106" s="102"/>
      <c r="BC106" s="102"/>
      <c r="BD106" s="102"/>
      <c r="BE106" s="102"/>
      <c r="BF106" s="102"/>
      <c r="BG106" s="102"/>
      <c r="BH106" s="102"/>
      <c r="BI106" s="102"/>
    </row>
    <row r="107" spans="1:61" s="17" customFormat="1" hidden="1" outlineLevel="1" x14ac:dyDescent="0.25">
      <c r="A107" s="16" t="str">
        <f t="shared" si="107"/>
        <v>Balance</v>
      </c>
      <c r="B107" s="101">
        <f t="shared" si="108"/>
        <v>0</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f>AG99-AG100</f>
        <v>0</v>
      </c>
      <c r="AH107" s="102">
        <f t="shared" ref="AH107:AV107" si="115">+AH106-AH101</f>
        <v>0</v>
      </c>
      <c r="AI107" s="102">
        <f t="shared" si="115"/>
        <v>0</v>
      </c>
      <c r="AJ107" s="102">
        <f t="shared" si="115"/>
        <v>0</v>
      </c>
      <c r="AK107" s="102">
        <f t="shared" si="115"/>
        <v>0</v>
      </c>
      <c r="AL107" s="102">
        <f t="shared" si="115"/>
        <v>0</v>
      </c>
      <c r="AM107" s="102">
        <f t="shared" si="115"/>
        <v>0</v>
      </c>
      <c r="AN107" s="102">
        <f t="shared" si="115"/>
        <v>0</v>
      </c>
      <c r="AO107" s="102">
        <f t="shared" si="115"/>
        <v>0</v>
      </c>
      <c r="AP107" s="102">
        <f t="shared" si="115"/>
        <v>0</v>
      </c>
      <c r="AQ107" s="102">
        <f t="shared" si="115"/>
        <v>0</v>
      </c>
      <c r="AR107" s="102">
        <f t="shared" si="115"/>
        <v>0</v>
      </c>
      <c r="AS107" s="102">
        <f t="shared" si="115"/>
        <v>0</v>
      </c>
      <c r="AT107" s="102">
        <f t="shared" si="115"/>
        <v>0</v>
      </c>
      <c r="AU107" s="102">
        <f t="shared" si="115"/>
        <v>0</v>
      </c>
      <c r="AV107" s="102">
        <f t="shared" si="115"/>
        <v>0</v>
      </c>
      <c r="AW107" s="102"/>
      <c r="AX107" s="102"/>
      <c r="AY107" s="102"/>
      <c r="AZ107" s="102"/>
      <c r="BA107" s="102"/>
      <c r="BB107" s="102"/>
      <c r="BC107" s="102"/>
      <c r="BD107" s="102"/>
      <c r="BE107" s="102"/>
      <c r="BF107" s="102"/>
      <c r="BG107" s="102"/>
      <c r="BH107" s="102"/>
      <c r="BI107" s="102"/>
    </row>
    <row r="108" spans="1:61" s="17" customFormat="1" hidden="1" outlineLevel="1" x14ac:dyDescent="0.25">
      <c r="A108" s="16"/>
      <c r="B108" s="101">
        <f t="shared" si="108"/>
        <v>0</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row>
    <row r="109" spans="1:61" hidden="1" outlineLevel="1" x14ac:dyDescent="0.25">
      <c r="A109" s="20" t="str">
        <f t="shared" ref="A109:A117" si="116">A99</f>
        <v>Debt Forecasted</v>
      </c>
      <c r="B109" s="101">
        <f t="shared" si="108"/>
        <v>0</v>
      </c>
      <c r="C109" s="102">
        <v>0</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f>AH8</f>
        <v>0</v>
      </c>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row>
    <row r="110" spans="1:61" s="17" customFormat="1" hidden="1" outlineLevel="1" x14ac:dyDescent="0.25">
      <c r="A110" s="16" t="str">
        <f t="shared" si="116"/>
        <v>Principal</v>
      </c>
      <c r="B110" s="101">
        <f t="shared" si="108"/>
        <v>0</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f t="shared" ref="AH110:AW111" si="117">+AH114-AH112</f>
        <v>0</v>
      </c>
      <c r="AI110" s="102">
        <f t="shared" si="117"/>
        <v>0</v>
      </c>
      <c r="AJ110" s="102">
        <f t="shared" si="117"/>
        <v>0</v>
      </c>
      <c r="AK110" s="102">
        <f t="shared" si="117"/>
        <v>0</v>
      </c>
      <c r="AL110" s="102">
        <f t="shared" si="117"/>
        <v>0</v>
      </c>
      <c r="AM110" s="102">
        <f t="shared" si="117"/>
        <v>0</v>
      </c>
      <c r="AN110" s="102">
        <f t="shared" si="117"/>
        <v>0</v>
      </c>
      <c r="AO110" s="102">
        <f t="shared" si="117"/>
        <v>0</v>
      </c>
      <c r="AP110" s="102">
        <f t="shared" si="117"/>
        <v>0</v>
      </c>
      <c r="AQ110" s="102">
        <f t="shared" si="117"/>
        <v>0</v>
      </c>
      <c r="AR110" s="102">
        <f t="shared" si="117"/>
        <v>0</v>
      </c>
      <c r="AS110" s="102">
        <f t="shared" si="117"/>
        <v>0</v>
      </c>
      <c r="AT110" s="102">
        <f t="shared" si="117"/>
        <v>0</v>
      </c>
      <c r="AU110" s="102">
        <f t="shared" si="117"/>
        <v>0</v>
      </c>
      <c r="AV110" s="102">
        <f t="shared" si="117"/>
        <v>0</v>
      </c>
      <c r="AW110" s="102">
        <f t="shared" si="117"/>
        <v>0</v>
      </c>
      <c r="AX110" s="102"/>
      <c r="AY110" s="102"/>
      <c r="AZ110" s="102"/>
      <c r="BA110" s="102"/>
      <c r="BB110" s="102"/>
      <c r="BC110" s="102"/>
      <c r="BD110" s="102"/>
      <c r="BE110" s="102"/>
      <c r="BF110" s="102"/>
      <c r="BG110" s="102"/>
      <c r="BH110" s="102"/>
      <c r="BI110" s="102"/>
    </row>
    <row r="111" spans="1:61" s="17" customFormat="1" hidden="1" outlineLevel="1" x14ac:dyDescent="0.25">
      <c r="A111" s="16" t="str">
        <f t="shared" si="116"/>
        <v>Principal</v>
      </c>
      <c r="B111" s="101">
        <f t="shared" si="108"/>
        <v>0</v>
      </c>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f t="shared" si="117"/>
        <v>0</v>
      </c>
      <c r="AJ111" s="102">
        <f t="shared" si="117"/>
        <v>0</v>
      </c>
      <c r="AK111" s="102">
        <f t="shared" si="117"/>
        <v>0</v>
      </c>
      <c r="AL111" s="102">
        <f t="shared" si="117"/>
        <v>0</v>
      </c>
      <c r="AM111" s="102">
        <f t="shared" si="117"/>
        <v>0</v>
      </c>
      <c r="AN111" s="102">
        <f t="shared" si="117"/>
        <v>0</v>
      </c>
      <c r="AO111" s="102">
        <f t="shared" si="117"/>
        <v>0</v>
      </c>
      <c r="AP111" s="102">
        <f t="shared" si="117"/>
        <v>0</v>
      </c>
      <c r="AQ111" s="102">
        <f t="shared" si="117"/>
        <v>0</v>
      </c>
      <c r="AR111" s="102">
        <f t="shared" si="117"/>
        <v>0</v>
      </c>
      <c r="AS111" s="102">
        <f t="shared" si="117"/>
        <v>0</v>
      </c>
      <c r="AT111" s="102">
        <f t="shared" si="117"/>
        <v>0</v>
      </c>
      <c r="AU111" s="102">
        <f t="shared" si="117"/>
        <v>0</v>
      </c>
      <c r="AV111" s="102">
        <f t="shared" si="117"/>
        <v>0</v>
      </c>
      <c r="AW111" s="102">
        <f t="shared" si="117"/>
        <v>0</v>
      </c>
      <c r="AX111" s="102"/>
      <c r="AY111" s="102"/>
      <c r="AZ111" s="102"/>
      <c r="BA111" s="102"/>
      <c r="BB111" s="102"/>
      <c r="BC111" s="102"/>
      <c r="BD111" s="102"/>
      <c r="BE111" s="102"/>
      <c r="BF111" s="102"/>
      <c r="BG111" s="102"/>
      <c r="BH111" s="102"/>
      <c r="BI111" s="102"/>
    </row>
    <row r="112" spans="1:61" s="17" customFormat="1" hidden="1" outlineLevel="1" x14ac:dyDescent="0.25">
      <c r="A112" s="16" t="str">
        <f t="shared" si="116"/>
        <v>Interest</v>
      </c>
      <c r="B112" s="101">
        <f t="shared" si="108"/>
        <v>0</v>
      </c>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f>+AH109*AH9/2</f>
        <v>0</v>
      </c>
      <c r="AI112" s="102">
        <f>+AH117*$AH$9/2</f>
        <v>0</v>
      </c>
      <c r="AJ112" s="102">
        <f t="shared" ref="AJ112:AW112" si="118">+AI117*$AH$9/2</f>
        <v>0</v>
      </c>
      <c r="AK112" s="102">
        <f t="shared" si="118"/>
        <v>0</v>
      </c>
      <c r="AL112" s="102">
        <f t="shared" si="118"/>
        <v>0</v>
      </c>
      <c r="AM112" s="102">
        <f t="shared" si="118"/>
        <v>0</v>
      </c>
      <c r="AN112" s="102">
        <f t="shared" si="118"/>
        <v>0</v>
      </c>
      <c r="AO112" s="102">
        <f t="shared" si="118"/>
        <v>0</v>
      </c>
      <c r="AP112" s="102">
        <f t="shared" si="118"/>
        <v>0</v>
      </c>
      <c r="AQ112" s="102">
        <f t="shared" si="118"/>
        <v>0</v>
      </c>
      <c r="AR112" s="102">
        <f t="shared" si="118"/>
        <v>0</v>
      </c>
      <c r="AS112" s="102">
        <f t="shared" si="118"/>
        <v>0</v>
      </c>
      <c r="AT112" s="102">
        <f t="shared" si="118"/>
        <v>0</v>
      </c>
      <c r="AU112" s="102">
        <f t="shared" si="118"/>
        <v>0</v>
      </c>
      <c r="AV112" s="102">
        <f t="shared" si="118"/>
        <v>0</v>
      </c>
      <c r="AW112" s="102">
        <f t="shared" si="118"/>
        <v>0</v>
      </c>
      <c r="AX112" s="102"/>
      <c r="AY112" s="102"/>
      <c r="AZ112" s="102"/>
      <c r="BA112" s="102"/>
      <c r="BB112" s="102"/>
      <c r="BC112" s="102"/>
      <c r="BD112" s="102"/>
      <c r="BE112" s="102"/>
      <c r="BF112" s="102"/>
      <c r="BG112" s="102"/>
      <c r="BH112" s="102"/>
      <c r="BI112" s="102"/>
    </row>
    <row r="113" spans="1:61" s="17" customFormat="1" hidden="1" outlineLevel="1" x14ac:dyDescent="0.25">
      <c r="A113" s="16" t="str">
        <f t="shared" si="116"/>
        <v>Interest</v>
      </c>
      <c r="B113" s="101">
        <f t="shared" si="108"/>
        <v>0</v>
      </c>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f>+AI116*$AH$9/2</f>
        <v>0</v>
      </c>
      <c r="AJ113" s="102">
        <f t="shared" ref="AJ113:AW113" si="119">+AJ116*$AH$9/2</f>
        <v>0</v>
      </c>
      <c r="AK113" s="102">
        <f t="shared" si="119"/>
        <v>0</v>
      </c>
      <c r="AL113" s="102">
        <f t="shared" si="119"/>
        <v>0</v>
      </c>
      <c r="AM113" s="102">
        <f t="shared" si="119"/>
        <v>0</v>
      </c>
      <c r="AN113" s="102">
        <f t="shared" si="119"/>
        <v>0</v>
      </c>
      <c r="AO113" s="102">
        <f t="shared" si="119"/>
        <v>0</v>
      </c>
      <c r="AP113" s="102">
        <f t="shared" si="119"/>
        <v>0</v>
      </c>
      <c r="AQ113" s="102">
        <f t="shared" si="119"/>
        <v>0</v>
      </c>
      <c r="AR113" s="102">
        <f t="shared" si="119"/>
        <v>0</v>
      </c>
      <c r="AS113" s="102">
        <f t="shared" si="119"/>
        <v>0</v>
      </c>
      <c r="AT113" s="102">
        <f t="shared" si="119"/>
        <v>0</v>
      </c>
      <c r="AU113" s="102">
        <f t="shared" si="119"/>
        <v>0</v>
      </c>
      <c r="AV113" s="102">
        <f t="shared" si="119"/>
        <v>0</v>
      </c>
      <c r="AW113" s="102">
        <f t="shared" si="119"/>
        <v>0</v>
      </c>
      <c r="AX113" s="102"/>
      <c r="AY113" s="102"/>
      <c r="AZ113" s="102"/>
      <c r="BA113" s="102"/>
      <c r="BB113" s="102"/>
      <c r="BC113" s="102"/>
      <c r="BD113" s="102"/>
      <c r="BE113" s="102"/>
      <c r="BF113" s="102"/>
      <c r="BG113" s="102"/>
      <c r="BH113" s="102"/>
      <c r="BI113" s="102"/>
    </row>
    <row r="114" spans="1:61" s="17" customFormat="1" hidden="1" outlineLevel="1" x14ac:dyDescent="0.25">
      <c r="A114" s="16" t="str">
        <f t="shared" si="116"/>
        <v xml:space="preserve">Debt Servicing </v>
      </c>
      <c r="B114" s="101">
        <f t="shared" si="108"/>
        <v>0</v>
      </c>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f>-PMT(AH9/2,AH10*2,AH8)</f>
        <v>0</v>
      </c>
      <c r="AI114" s="102">
        <f t="shared" ref="AI114:AW114" si="120">+AH114</f>
        <v>0</v>
      </c>
      <c r="AJ114" s="102">
        <f t="shared" si="120"/>
        <v>0</v>
      </c>
      <c r="AK114" s="102">
        <f t="shared" si="120"/>
        <v>0</v>
      </c>
      <c r="AL114" s="102">
        <f t="shared" si="120"/>
        <v>0</v>
      </c>
      <c r="AM114" s="102">
        <f t="shared" si="120"/>
        <v>0</v>
      </c>
      <c r="AN114" s="102">
        <f t="shared" si="120"/>
        <v>0</v>
      </c>
      <c r="AO114" s="102">
        <f t="shared" si="120"/>
        <v>0</v>
      </c>
      <c r="AP114" s="102">
        <f t="shared" si="120"/>
        <v>0</v>
      </c>
      <c r="AQ114" s="102">
        <f t="shared" si="120"/>
        <v>0</v>
      </c>
      <c r="AR114" s="102">
        <f t="shared" si="120"/>
        <v>0</v>
      </c>
      <c r="AS114" s="102">
        <f t="shared" si="120"/>
        <v>0</v>
      </c>
      <c r="AT114" s="102">
        <f t="shared" si="120"/>
        <v>0</v>
      </c>
      <c r="AU114" s="102">
        <f t="shared" si="120"/>
        <v>0</v>
      </c>
      <c r="AV114" s="102">
        <f t="shared" si="120"/>
        <v>0</v>
      </c>
      <c r="AW114" s="102">
        <f t="shared" si="120"/>
        <v>0</v>
      </c>
      <c r="AX114" s="102"/>
      <c r="AY114" s="102"/>
      <c r="AZ114" s="102"/>
      <c r="BA114" s="102"/>
      <c r="BB114" s="102"/>
      <c r="BC114" s="102"/>
      <c r="BD114" s="102"/>
      <c r="BE114" s="102"/>
      <c r="BF114" s="102"/>
      <c r="BG114" s="102"/>
      <c r="BH114" s="102"/>
      <c r="BI114" s="102"/>
    </row>
    <row r="115" spans="1:61" s="17" customFormat="1" hidden="1" outlineLevel="1" x14ac:dyDescent="0.25">
      <c r="A115" s="16" t="str">
        <f t="shared" si="116"/>
        <v xml:space="preserve">Debt Servicing </v>
      </c>
      <c r="B115" s="101">
        <f t="shared" si="108"/>
        <v>0</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f t="shared" ref="AI115:AV115" si="121">+AI114</f>
        <v>0</v>
      </c>
      <c r="AJ115" s="102">
        <f t="shared" si="121"/>
        <v>0</v>
      </c>
      <c r="AK115" s="102">
        <f t="shared" si="121"/>
        <v>0</v>
      </c>
      <c r="AL115" s="102">
        <f t="shared" si="121"/>
        <v>0</v>
      </c>
      <c r="AM115" s="102">
        <f t="shared" si="121"/>
        <v>0</v>
      </c>
      <c r="AN115" s="102">
        <f t="shared" si="121"/>
        <v>0</v>
      </c>
      <c r="AO115" s="102">
        <f t="shared" si="121"/>
        <v>0</v>
      </c>
      <c r="AP115" s="102">
        <f t="shared" si="121"/>
        <v>0</v>
      </c>
      <c r="AQ115" s="102">
        <f t="shared" si="121"/>
        <v>0</v>
      </c>
      <c r="AR115" s="102">
        <f t="shared" si="121"/>
        <v>0</v>
      </c>
      <c r="AS115" s="102">
        <f t="shared" si="121"/>
        <v>0</v>
      </c>
      <c r="AT115" s="102">
        <f t="shared" si="121"/>
        <v>0</v>
      </c>
      <c r="AU115" s="102">
        <f t="shared" si="121"/>
        <v>0</v>
      </c>
      <c r="AV115" s="102">
        <f t="shared" si="121"/>
        <v>0</v>
      </c>
      <c r="AW115" s="102"/>
      <c r="AX115" s="102"/>
      <c r="AY115" s="102"/>
      <c r="AZ115" s="102"/>
      <c r="BA115" s="102"/>
      <c r="BB115" s="102"/>
      <c r="BC115" s="102"/>
      <c r="BD115" s="102"/>
      <c r="BE115" s="102"/>
      <c r="BF115" s="102"/>
      <c r="BG115" s="102"/>
      <c r="BH115" s="102"/>
      <c r="BI115" s="102"/>
    </row>
    <row r="116" spans="1:61" s="17" customFormat="1" hidden="1" outlineLevel="1" x14ac:dyDescent="0.25">
      <c r="A116" s="16" t="str">
        <f t="shared" si="116"/>
        <v>Balance mid year</v>
      </c>
      <c r="B116" s="101">
        <f t="shared" si="108"/>
        <v>0</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f t="shared" ref="AI116:AW116" si="122">+AH117-AI110</f>
        <v>0</v>
      </c>
      <c r="AJ116" s="102">
        <f t="shared" si="122"/>
        <v>0</v>
      </c>
      <c r="AK116" s="102">
        <f t="shared" si="122"/>
        <v>0</v>
      </c>
      <c r="AL116" s="102">
        <f t="shared" si="122"/>
        <v>0</v>
      </c>
      <c r="AM116" s="102">
        <f t="shared" si="122"/>
        <v>0</v>
      </c>
      <c r="AN116" s="102">
        <f t="shared" si="122"/>
        <v>0</v>
      </c>
      <c r="AO116" s="102">
        <f t="shared" si="122"/>
        <v>0</v>
      </c>
      <c r="AP116" s="102">
        <f t="shared" si="122"/>
        <v>0</v>
      </c>
      <c r="AQ116" s="102">
        <f t="shared" si="122"/>
        <v>0</v>
      </c>
      <c r="AR116" s="102">
        <f t="shared" si="122"/>
        <v>0</v>
      </c>
      <c r="AS116" s="102">
        <f t="shared" si="122"/>
        <v>0</v>
      </c>
      <c r="AT116" s="102">
        <f t="shared" si="122"/>
        <v>0</v>
      </c>
      <c r="AU116" s="102">
        <f t="shared" si="122"/>
        <v>0</v>
      </c>
      <c r="AV116" s="102">
        <f t="shared" si="122"/>
        <v>0</v>
      </c>
      <c r="AW116" s="102">
        <f t="shared" si="122"/>
        <v>0</v>
      </c>
      <c r="AX116" s="102"/>
      <c r="AY116" s="102"/>
      <c r="AZ116" s="102"/>
      <c r="BA116" s="102"/>
      <c r="BB116" s="102"/>
      <c r="BC116" s="102"/>
      <c r="BD116" s="102"/>
      <c r="BE116" s="102"/>
      <c r="BF116" s="102"/>
      <c r="BG116" s="102"/>
      <c r="BH116" s="102"/>
      <c r="BI116" s="102"/>
    </row>
    <row r="117" spans="1:61" s="17" customFormat="1" hidden="1" outlineLevel="1" x14ac:dyDescent="0.25">
      <c r="A117" s="16" t="str">
        <f t="shared" si="116"/>
        <v>Balance</v>
      </c>
      <c r="B117" s="101">
        <f t="shared" si="108"/>
        <v>0</v>
      </c>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f>AH109-AH110</f>
        <v>0</v>
      </c>
      <c r="AI117" s="102">
        <f t="shared" ref="AI117:AW117" si="123">+AI116-AI111</f>
        <v>0</v>
      </c>
      <c r="AJ117" s="102">
        <f t="shared" si="123"/>
        <v>0</v>
      </c>
      <c r="AK117" s="102">
        <f t="shared" si="123"/>
        <v>0</v>
      </c>
      <c r="AL117" s="102">
        <f t="shared" si="123"/>
        <v>0</v>
      </c>
      <c r="AM117" s="102">
        <f t="shared" si="123"/>
        <v>0</v>
      </c>
      <c r="AN117" s="102">
        <f t="shared" si="123"/>
        <v>0</v>
      </c>
      <c r="AO117" s="102">
        <f t="shared" si="123"/>
        <v>0</v>
      </c>
      <c r="AP117" s="102">
        <f t="shared" si="123"/>
        <v>0</v>
      </c>
      <c r="AQ117" s="102">
        <f t="shared" si="123"/>
        <v>0</v>
      </c>
      <c r="AR117" s="102">
        <f t="shared" si="123"/>
        <v>0</v>
      </c>
      <c r="AS117" s="102">
        <f t="shared" si="123"/>
        <v>0</v>
      </c>
      <c r="AT117" s="102">
        <f t="shared" si="123"/>
        <v>0</v>
      </c>
      <c r="AU117" s="102">
        <f t="shared" si="123"/>
        <v>0</v>
      </c>
      <c r="AV117" s="102">
        <f t="shared" si="123"/>
        <v>0</v>
      </c>
      <c r="AW117" s="102">
        <f t="shared" si="123"/>
        <v>0</v>
      </c>
      <c r="AX117" s="102"/>
      <c r="AY117" s="102"/>
      <c r="AZ117" s="102"/>
      <c r="BA117" s="102"/>
      <c r="BB117" s="102"/>
      <c r="BC117" s="102"/>
      <c r="BD117" s="102"/>
      <c r="BE117" s="102"/>
      <c r="BF117" s="102"/>
      <c r="BG117" s="102"/>
      <c r="BH117" s="102"/>
      <c r="BI117" s="102"/>
    </row>
    <row r="118" spans="1:61" s="17" customFormat="1" hidden="1" outlineLevel="1" x14ac:dyDescent="0.25">
      <c r="A118" s="16"/>
      <c r="B118" s="101"/>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row>
    <row r="119" spans="1:61" hidden="1" outlineLevel="1" x14ac:dyDescent="0.25">
      <c r="A119" s="20" t="s">
        <v>226</v>
      </c>
      <c r="B119" s="101">
        <f t="shared" ref="B119:B128" si="124">SUM(C119:BB119)</f>
        <v>0</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f>AI8</f>
        <v>0</v>
      </c>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row>
    <row r="120" spans="1:61" s="17" customFormat="1" hidden="1" outlineLevel="1" x14ac:dyDescent="0.25">
      <c r="A120" s="16" t="s">
        <v>163</v>
      </c>
      <c r="B120" s="101">
        <f t="shared" si="124"/>
        <v>0</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f t="shared" ref="AI120:AX121" si="125">+AI124-AI122</f>
        <v>0</v>
      </c>
      <c r="AJ120" s="102">
        <f t="shared" si="125"/>
        <v>0</v>
      </c>
      <c r="AK120" s="102">
        <f t="shared" si="125"/>
        <v>0</v>
      </c>
      <c r="AL120" s="102">
        <f t="shared" si="125"/>
        <v>0</v>
      </c>
      <c r="AM120" s="102">
        <f t="shared" si="125"/>
        <v>0</v>
      </c>
      <c r="AN120" s="102">
        <f t="shared" si="125"/>
        <v>0</v>
      </c>
      <c r="AO120" s="102">
        <f t="shared" si="125"/>
        <v>0</v>
      </c>
      <c r="AP120" s="102">
        <f t="shared" si="125"/>
        <v>0</v>
      </c>
      <c r="AQ120" s="102">
        <f t="shared" si="125"/>
        <v>0</v>
      </c>
      <c r="AR120" s="102">
        <f t="shared" si="125"/>
        <v>0</v>
      </c>
      <c r="AS120" s="102">
        <f t="shared" si="125"/>
        <v>0</v>
      </c>
      <c r="AT120" s="102">
        <f t="shared" si="125"/>
        <v>0</v>
      </c>
      <c r="AU120" s="102">
        <f t="shared" si="125"/>
        <v>0</v>
      </c>
      <c r="AV120" s="102">
        <f t="shared" si="125"/>
        <v>0</v>
      </c>
      <c r="AW120" s="102">
        <f t="shared" si="125"/>
        <v>0</v>
      </c>
      <c r="AX120" s="102">
        <f t="shared" si="125"/>
        <v>0</v>
      </c>
      <c r="AY120" s="102"/>
      <c r="AZ120" s="102"/>
      <c r="BA120" s="102"/>
      <c r="BB120" s="102"/>
      <c r="BC120" s="102"/>
      <c r="BD120" s="102"/>
      <c r="BE120" s="102"/>
      <c r="BF120" s="102"/>
      <c r="BG120" s="102"/>
      <c r="BH120" s="102"/>
      <c r="BI120" s="102"/>
    </row>
    <row r="121" spans="1:61" s="17" customFormat="1" hidden="1" outlineLevel="1" x14ac:dyDescent="0.25">
      <c r="A121" s="16" t="s">
        <v>163</v>
      </c>
      <c r="B121" s="101">
        <f t="shared" si="124"/>
        <v>0</v>
      </c>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f t="shared" si="125"/>
        <v>0</v>
      </c>
      <c r="AK121" s="102">
        <f t="shared" si="125"/>
        <v>0</v>
      </c>
      <c r="AL121" s="102">
        <f t="shared" si="125"/>
        <v>0</v>
      </c>
      <c r="AM121" s="102">
        <f t="shared" si="125"/>
        <v>0</v>
      </c>
      <c r="AN121" s="102">
        <f t="shared" si="125"/>
        <v>0</v>
      </c>
      <c r="AO121" s="102">
        <f t="shared" si="125"/>
        <v>0</v>
      </c>
      <c r="AP121" s="102">
        <f t="shared" si="125"/>
        <v>0</v>
      </c>
      <c r="AQ121" s="102">
        <f t="shared" si="125"/>
        <v>0</v>
      </c>
      <c r="AR121" s="102">
        <f t="shared" si="125"/>
        <v>0</v>
      </c>
      <c r="AS121" s="102">
        <f t="shared" si="125"/>
        <v>0</v>
      </c>
      <c r="AT121" s="102">
        <f t="shared" si="125"/>
        <v>0</v>
      </c>
      <c r="AU121" s="102">
        <f t="shared" si="125"/>
        <v>0</v>
      </c>
      <c r="AV121" s="102">
        <f t="shared" si="125"/>
        <v>0</v>
      </c>
      <c r="AW121" s="102">
        <f t="shared" si="125"/>
        <v>0</v>
      </c>
      <c r="AX121" s="102">
        <f t="shared" si="125"/>
        <v>0</v>
      </c>
      <c r="AY121" s="102"/>
      <c r="AZ121" s="102"/>
      <c r="BA121" s="102"/>
      <c r="BB121" s="102"/>
      <c r="BC121" s="102"/>
      <c r="BD121" s="102"/>
      <c r="BE121" s="102"/>
      <c r="BF121" s="102"/>
      <c r="BG121" s="102"/>
      <c r="BH121" s="102"/>
      <c r="BI121" s="102"/>
    </row>
    <row r="122" spans="1:61" s="17" customFormat="1" hidden="1" outlineLevel="1" x14ac:dyDescent="0.25">
      <c r="A122" s="16" t="s">
        <v>164</v>
      </c>
      <c r="B122" s="101">
        <f t="shared" si="124"/>
        <v>0</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f>+AI119*AI9/2</f>
        <v>0</v>
      </c>
      <c r="AJ122" s="102">
        <f>+AI127*$AI$9/2</f>
        <v>0</v>
      </c>
      <c r="AK122" s="102">
        <f t="shared" ref="AK122:AX122" si="126">+AJ127*$AI$9/2</f>
        <v>0</v>
      </c>
      <c r="AL122" s="102">
        <f t="shared" si="126"/>
        <v>0</v>
      </c>
      <c r="AM122" s="102">
        <f t="shared" si="126"/>
        <v>0</v>
      </c>
      <c r="AN122" s="102">
        <f t="shared" si="126"/>
        <v>0</v>
      </c>
      <c r="AO122" s="102">
        <f t="shared" si="126"/>
        <v>0</v>
      </c>
      <c r="AP122" s="102">
        <f t="shared" si="126"/>
        <v>0</v>
      </c>
      <c r="AQ122" s="102">
        <f t="shared" si="126"/>
        <v>0</v>
      </c>
      <c r="AR122" s="102">
        <f t="shared" si="126"/>
        <v>0</v>
      </c>
      <c r="AS122" s="102">
        <f t="shared" si="126"/>
        <v>0</v>
      </c>
      <c r="AT122" s="102">
        <f t="shared" si="126"/>
        <v>0</v>
      </c>
      <c r="AU122" s="102">
        <f t="shared" si="126"/>
        <v>0</v>
      </c>
      <c r="AV122" s="102">
        <f t="shared" si="126"/>
        <v>0</v>
      </c>
      <c r="AW122" s="102">
        <f t="shared" si="126"/>
        <v>0</v>
      </c>
      <c r="AX122" s="102">
        <f t="shared" si="126"/>
        <v>0</v>
      </c>
      <c r="AY122" s="102"/>
      <c r="AZ122" s="102"/>
      <c r="BA122" s="102"/>
      <c r="BB122" s="102"/>
      <c r="BC122" s="102"/>
      <c r="BD122" s="102"/>
      <c r="BE122" s="102"/>
      <c r="BF122" s="102"/>
      <c r="BG122" s="102"/>
      <c r="BH122" s="102"/>
      <c r="BI122" s="102"/>
    </row>
    <row r="123" spans="1:61" s="17" customFormat="1" hidden="1" outlineLevel="1" x14ac:dyDescent="0.25">
      <c r="A123" s="16" t="s">
        <v>164</v>
      </c>
      <c r="B123" s="101">
        <f t="shared" si="124"/>
        <v>0</v>
      </c>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f>+AJ126*$AI$9/2</f>
        <v>0</v>
      </c>
      <c r="AK123" s="102">
        <f t="shared" ref="AK123:AX123" si="127">+AK126*$AI$9/2</f>
        <v>0</v>
      </c>
      <c r="AL123" s="102">
        <f t="shared" si="127"/>
        <v>0</v>
      </c>
      <c r="AM123" s="102">
        <f t="shared" si="127"/>
        <v>0</v>
      </c>
      <c r="AN123" s="102">
        <f t="shared" si="127"/>
        <v>0</v>
      </c>
      <c r="AO123" s="102">
        <f t="shared" si="127"/>
        <v>0</v>
      </c>
      <c r="AP123" s="102">
        <f t="shared" si="127"/>
        <v>0</v>
      </c>
      <c r="AQ123" s="102">
        <f t="shared" si="127"/>
        <v>0</v>
      </c>
      <c r="AR123" s="102">
        <f t="shared" si="127"/>
        <v>0</v>
      </c>
      <c r="AS123" s="102">
        <f t="shared" si="127"/>
        <v>0</v>
      </c>
      <c r="AT123" s="102">
        <f t="shared" si="127"/>
        <v>0</v>
      </c>
      <c r="AU123" s="102">
        <f t="shared" si="127"/>
        <v>0</v>
      </c>
      <c r="AV123" s="102">
        <f t="shared" si="127"/>
        <v>0</v>
      </c>
      <c r="AW123" s="102">
        <f t="shared" si="127"/>
        <v>0</v>
      </c>
      <c r="AX123" s="102">
        <f t="shared" si="127"/>
        <v>0</v>
      </c>
      <c r="AY123" s="102"/>
      <c r="AZ123" s="102"/>
      <c r="BA123" s="102"/>
      <c r="BB123" s="102"/>
      <c r="BC123" s="102"/>
      <c r="BD123" s="102"/>
      <c r="BE123" s="102"/>
      <c r="BF123" s="102"/>
      <c r="BG123" s="102"/>
      <c r="BH123" s="102"/>
      <c r="BI123" s="102"/>
    </row>
    <row r="124" spans="1:61" s="17" customFormat="1" hidden="1" outlineLevel="1" x14ac:dyDescent="0.25">
      <c r="A124" s="16" t="s">
        <v>220</v>
      </c>
      <c r="B124" s="101">
        <f t="shared" si="124"/>
        <v>0</v>
      </c>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f>-PMT(AI9/2,AI10*2,AI8)</f>
        <v>0</v>
      </c>
      <c r="AJ124" s="102">
        <f t="shared" ref="AJ124:AX124" si="128">+AI124</f>
        <v>0</v>
      </c>
      <c r="AK124" s="102">
        <f t="shared" si="128"/>
        <v>0</v>
      </c>
      <c r="AL124" s="102">
        <f t="shared" si="128"/>
        <v>0</v>
      </c>
      <c r="AM124" s="102">
        <f t="shared" si="128"/>
        <v>0</v>
      </c>
      <c r="AN124" s="102">
        <f t="shared" si="128"/>
        <v>0</v>
      </c>
      <c r="AO124" s="102">
        <f t="shared" si="128"/>
        <v>0</v>
      </c>
      <c r="AP124" s="102">
        <f t="shared" si="128"/>
        <v>0</v>
      </c>
      <c r="AQ124" s="102">
        <f t="shared" si="128"/>
        <v>0</v>
      </c>
      <c r="AR124" s="102">
        <f t="shared" si="128"/>
        <v>0</v>
      </c>
      <c r="AS124" s="102">
        <f t="shared" si="128"/>
        <v>0</v>
      </c>
      <c r="AT124" s="102">
        <f t="shared" si="128"/>
        <v>0</v>
      </c>
      <c r="AU124" s="102">
        <f t="shared" si="128"/>
        <v>0</v>
      </c>
      <c r="AV124" s="102">
        <f t="shared" si="128"/>
        <v>0</v>
      </c>
      <c r="AW124" s="102">
        <f t="shared" si="128"/>
        <v>0</v>
      </c>
      <c r="AX124" s="102">
        <f t="shared" si="128"/>
        <v>0</v>
      </c>
      <c r="AY124" s="102"/>
      <c r="AZ124" s="102"/>
      <c r="BA124" s="102"/>
      <c r="BB124" s="102"/>
      <c r="BC124" s="102"/>
      <c r="BD124" s="102"/>
      <c r="BE124" s="102"/>
      <c r="BF124" s="102"/>
      <c r="BG124" s="102"/>
      <c r="BH124" s="102"/>
      <c r="BI124" s="102"/>
    </row>
    <row r="125" spans="1:61" s="17" customFormat="1" hidden="1" outlineLevel="1" x14ac:dyDescent="0.25">
      <c r="A125" s="16" t="s">
        <v>220</v>
      </c>
      <c r="B125" s="101">
        <f t="shared" si="124"/>
        <v>0</v>
      </c>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f t="shared" ref="AJ125:AW125" si="129">+AJ124</f>
        <v>0</v>
      </c>
      <c r="AK125" s="102">
        <f t="shared" si="129"/>
        <v>0</v>
      </c>
      <c r="AL125" s="102">
        <f t="shared" si="129"/>
        <v>0</v>
      </c>
      <c r="AM125" s="102">
        <f t="shared" si="129"/>
        <v>0</v>
      </c>
      <c r="AN125" s="102">
        <f t="shared" si="129"/>
        <v>0</v>
      </c>
      <c r="AO125" s="102">
        <f t="shared" si="129"/>
        <v>0</v>
      </c>
      <c r="AP125" s="102">
        <f t="shared" si="129"/>
        <v>0</v>
      </c>
      <c r="AQ125" s="102">
        <f t="shared" si="129"/>
        <v>0</v>
      </c>
      <c r="AR125" s="102">
        <f t="shared" si="129"/>
        <v>0</v>
      </c>
      <c r="AS125" s="102">
        <f t="shared" si="129"/>
        <v>0</v>
      </c>
      <c r="AT125" s="102">
        <f t="shared" si="129"/>
        <v>0</v>
      </c>
      <c r="AU125" s="102">
        <f t="shared" si="129"/>
        <v>0</v>
      </c>
      <c r="AV125" s="102">
        <f t="shared" si="129"/>
        <v>0</v>
      </c>
      <c r="AW125" s="102">
        <f t="shared" si="129"/>
        <v>0</v>
      </c>
      <c r="AX125" s="102"/>
      <c r="AY125" s="102"/>
      <c r="AZ125" s="102"/>
      <c r="BA125" s="102"/>
      <c r="BB125" s="102"/>
      <c r="BC125" s="102"/>
      <c r="BD125" s="102"/>
      <c r="BE125" s="102"/>
      <c r="BF125" s="102"/>
      <c r="BG125" s="102"/>
      <c r="BH125" s="102"/>
      <c r="BI125" s="102"/>
    </row>
    <row r="126" spans="1:61" s="17" customFormat="1" hidden="1" outlineLevel="1" x14ac:dyDescent="0.25">
      <c r="A126" s="16" t="s">
        <v>227</v>
      </c>
      <c r="B126" s="101">
        <f t="shared" si="124"/>
        <v>0</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f t="shared" ref="AJ126:AX126" si="130">+AI127-AJ120</f>
        <v>0</v>
      </c>
      <c r="AK126" s="102">
        <f t="shared" si="130"/>
        <v>0</v>
      </c>
      <c r="AL126" s="102">
        <f t="shared" si="130"/>
        <v>0</v>
      </c>
      <c r="AM126" s="102">
        <f t="shared" si="130"/>
        <v>0</v>
      </c>
      <c r="AN126" s="102">
        <f t="shared" si="130"/>
        <v>0</v>
      </c>
      <c r="AO126" s="102">
        <f t="shared" si="130"/>
        <v>0</v>
      </c>
      <c r="AP126" s="102">
        <f t="shared" si="130"/>
        <v>0</v>
      </c>
      <c r="AQ126" s="102">
        <f t="shared" si="130"/>
        <v>0</v>
      </c>
      <c r="AR126" s="102">
        <f t="shared" si="130"/>
        <v>0</v>
      </c>
      <c r="AS126" s="102">
        <f t="shared" si="130"/>
        <v>0</v>
      </c>
      <c r="AT126" s="102">
        <f t="shared" si="130"/>
        <v>0</v>
      </c>
      <c r="AU126" s="102">
        <f t="shared" si="130"/>
        <v>0</v>
      </c>
      <c r="AV126" s="102">
        <f t="shared" si="130"/>
        <v>0</v>
      </c>
      <c r="AW126" s="102">
        <f t="shared" si="130"/>
        <v>0</v>
      </c>
      <c r="AX126" s="102">
        <f t="shared" si="130"/>
        <v>0</v>
      </c>
      <c r="AY126" s="102"/>
      <c r="AZ126" s="102"/>
      <c r="BA126" s="102"/>
      <c r="BB126" s="102"/>
      <c r="BC126" s="102"/>
      <c r="BD126" s="102"/>
      <c r="BE126" s="102"/>
      <c r="BF126" s="102"/>
      <c r="BG126" s="102"/>
      <c r="BH126" s="102"/>
      <c r="BI126" s="102"/>
    </row>
    <row r="127" spans="1:61" s="17" customFormat="1" hidden="1" outlineLevel="1" x14ac:dyDescent="0.25">
      <c r="A127" s="16" t="s">
        <v>16</v>
      </c>
      <c r="B127" s="101">
        <f t="shared" si="124"/>
        <v>0</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f>AI119-AI120</f>
        <v>0</v>
      </c>
      <c r="AJ127" s="102">
        <f t="shared" ref="AJ127:AX127" si="131">+AJ126-AJ121</f>
        <v>0</v>
      </c>
      <c r="AK127" s="102">
        <f t="shared" si="131"/>
        <v>0</v>
      </c>
      <c r="AL127" s="102">
        <f t="shared" si="131"/>
        <v>0</v>
      </c>
      <c r="AM127" s="102">
        <f t="shared" si="131"/>
        <v>0</v>
      </c>
      <c r="AN127" s="102">
        <f t="shared" si="131"/>
        <v>0</v>
      </c>
      <c r="AO127" s="102">
        <f t="shared" si="131"/>
        <v>0</v>
      </c>
      <c r="AP127" s="102">
        <f t="shared" si="131"/>
        <v>0</v>
      </c>
      <c r="AQ127" s="102">
        <f t="shared" si="131"/>
        <v>0</v>
      </c>
      <c r="AR127" s="102">
        <f t="shared" si="131"/>
        <v>0</v>
      </c>
      <c r="AS127" s="102">
        <f t="shared" si="131"/>
        <v>0</v>
      </c>
      <c r="AT127" s="102">
        <f t="shared" si="131"/>
        <v>0</v>
      </c>
      <c r="AU127" s="102">
        <f t="shared" si="131"/>
        <v>0</v>
      </c>
      <c r="AV127" s="102">
        <f t="shared" si="131"/>
        <v>0</v>
      </c>
      <c r="AW127" s="102">
        <f t="shared" si="131"/>
        <v>0</v>
      </c>
      <c r="AX127" s="102">
        <f t="shared" si="131"/>
        <v>0</v>
      </c>
      <c r="AY127" s="102"/>
      <c r="AZ127" s="102"/>
      <c r="BA127" s="102"/>
      <c r="BB127" s="102"/>
      <c r="BC127" s="102"/>
      <c r="BD127" s="102"/>
      <c r="BE127" s="102"/>
      <c r="BF127" s="102"/>
      <c r="BG127" s="102"/>
      <c r="BH127" s="102"/>
      <c r="BI127" s="102"/>
    </row>
    <row r="128" spans="1:61" s="17" customFormat="1" hidden="1" outlineLevel="1" x14ac:dyDescent="0.25">
      <c r="A128" s="16"/>
      <c r="B128" s="101">
        <f t="shared" si="124"/>
        <v>0</v>
      </c>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row>
    <row r="129" spans="1:61" s="17" customFormat="1" collapsed="1" x14ac:dyDescent="0.25">
      <c r="A129" s="16"/>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row>
    <row r="130" spans="1:61" s="104" customFormat="1" x14ac:dyDescent="0.25">
      <c r="A130" s="21" t="s">
        <v>228</v>
      </c>
      <c r="B130" s="101">
        <f t="shared" si="71"/>
        <v>20806.653383813344</v>
      </c>
      <c r="C130" s="103"/>
      <c r="D130" s="103">
        <f t="shared" ref="D130:BD130" si="132">SUMIF($A$29:$A$129,"Debt Forecasted",D29:D129)</f>
        <v>0</v>
      </c>
      <c r="E130" s="103">
        <f t="shared" si="132"/>
        <v>0</v>
      </c>
      <c r="F130" s="103">
        <f t="shared" si="132"/>
        <v>0</v>
      </c>
      <c r="G130" s="103">
        <f t="shared" si="132"/>
        <v>0</v>
      </c>
      <c r="H130" s="103">
        <f t="shared" si="132"/>
        <v>0</v>
      </c>
      <c r="I130" s="103">
        <f t="shared" si="132"/>
        <v>0</v>
      </c>
      <c r="J130" s="103">
        <f t="shared" si="132"/>
        <v>0</v>
      </c>
      <c r="K130" s="103">
        <f t="shared" si="132"/>
        <v>0</v>
      </c>
      <c r="L130" s="103">
        <f t="shared" si="132"/>
        <v>0</v>
      </c>
      <c r="M130" s="103">
        <f t="shared" si="132"/>
        <v>0</v>
      </c>
      <c r="N130" s="103">
        <f t="shared" si="132"/>
        <v>0</v>
      </c>
      <c r="O130" s="103">
        <f t="shared" si="132"/>
        <v>0</v>
      </c>
      <c r="P130" s="103">
        <f t="shared" si="132"/>
        <v>0</v>
      </c>
      <c r="Q130" s="103">
        <f t="shared" si="132"/>
        <v>0</v>
      </c>
      <c r="R130" s="103">
        <f t="shared" si="132"/>
        <v>0</v>
      </c>
      <c r="S130" s="103">
        <f t="shared" si="132"/>
        <v>0</v>
      </c>
      <c r="T130" s="103">
        <f t="shared" si="132"/>
        <v>0</v>
      </c>
      <c r="U130" s="103">
        <f t="shared" si="132"/>
        <v>0</v>
      </c>
      <c r="V130" s="103">
        <f t="shared" si="132"/>
        <v>0</v>
      </c>
      <c r="W130" s="103">
        <f t="shared" si="132"/>
        <v>0</v>
      </c>
      <c r="X130" s="103">
        <f t="shared" si="132"/>
        <v>0</v>
      </c>
      <c r="Y130" s="103">
        <f t="shared" si="132"/>
        <v>0</v>
      </c>
      <c r="Z130" s="103">
        <f t="shared" si="132"/>
        <v>4915.453383813343</v>
      </c>
      <c r="AA130" s="103">
        <f t="shared" si="132"/>
        <v>12480</v>
      </c>
      <c r="AB130" s="103">
        <f t="shared" si="132"/>
        <v>3359.2000000000003</v>
      </c>
      <c r="AC130" s="103">
        <f t="shared" si="132"/>
        <v>52</v>
      </c>
      <c r="AD130" s="103">
        <f t="shared" si="132"/>
        <v>0</v>
      </c>
      <c r="AE130" s="103">
        <f t="shared" si="132"/>
        <v>0</v>
      </c>
      <c r="AF130" s="103">
        <f t="shared" si="132"/>
        <v>0</v>
      </c>
      <c r="AG130" s="103">
        <f t="shared" si="132"/>
        <v>0</v>
      </c>
      <c r="AH130" s="103">
        <f t="shared" si="132"/>
        <v>0</v>
      </c>
      <c r="AI130" s="103">
        <f t="shared" si="132"/>
        <v>0</v>
      </c>
      <c r="AJ130" s="103">
        <f t="shared" si="132"/>
        <v>0</v>
      </c>
      <c r="AK130" s="103">
        <f t="shared" si="132"/>
        <v>0</v>
      </c>
      <c r="AL130" s="103">
        <f t="shared" si="132"/>
        <v>0</v>
      </c>
      <c r="AM130" s="103">
        <f t="shared" si="132"/>
        <v>0</v>
      </c>
      <c r="AN130" s="103">
        <f t="shared" si="132"/>
        <v>0</v>
      </c>
      <c r="AO130" s="103">
        <f t="shared" si="132"/>
        <v>0</v>
      </c>
      <c r="AP130" s="103">
        <f t="shared" si="132"/>
        <v>0</v>
      </c>
      <c r="AQ130" s="103">
        <f t="shared" si="132"/>
        <v>0</v>
      </c>
      <c r="AR130" s="103">
        <f t="shared" si="132"/>
        <v>0</v>
      </c>
      <c r="AS130" s="103">
        <f t="shared" si="132"/>
        <v>0</v>
      </c>
      <c r="AT130" s="103">
        <f t="shared" si="132"/>
        <v>0</v>
      </c>
      <c r="AU130" s="103">
        <f t="shared" si="132"/>
        <v>0</v>
      </c>
      <c r="AV130" s="103">
        <f t="shared" si="132"/>
        <v>0</v>
      </c>
      <c r="AW130" s="103">
        <f t="shared" si="132"/>
        <v>0</v>
      </c>
      <c r="AX130" s="103">
        <f t="shared" si="132"/>
        <v>0</v>
      </c>
      <c r="AY130" s="103">
        <f t="shared" si="132"/>
        <v>0</v>
      </c>
      <c r="AZ130" s="103">
        <f t="shared" si="132"/>
        <v>0</v>
      </c>
      <c r="BA130" s="103">
        <f t="shared" si="132"/>
        <v>0</v>
      </c>
      <c r="BB130" s="103">
        <f t="shared" si="132"/>
        <v>0</v>
      </c>
      <c r="BC130" s="103">
        <f t="shared" si="132"/>
        <v>0</v>
      </c>
      <c r="BD130" s="103">
        <f t="shared" si="132"/>
        <v>0</v>
      </c>
      <c r="BE130" s="103"/>
      <c r="BF130" s="103"/>
      <c r="BG130" s="103"/>
      <c r="BH130" s="103"/>
      <c r="BI130" s="103"/>
    </row>
    <row r="131" spans="1:61" s="17" customFormat="1" x14ac:dyDescent="0.25">
      <c r="A131" s="16" t="s">
        <v>223</v>
      </c>
      <c r="B131" s="101">
        <f t="shared" si="71"/>
        <v>20806.653383813336</v>
      </c>
      <c r="C131" s="102">
        <f t="shared" ref="C131:BD131" si="133">SUMIF($A$29:$A$129,"Principal",C29:C129)</f>
        <v>0</v>
      </c>
      <c r="D131" s="102">
        <f t="shared" si="133"/>
        <v>0</v>
      </c>
      <c r="E131" s="102">
        <f t="shared" si="133"/>
        <v>0</v>
      </c>
      <c r="F131" s="102">
        <f t="shared" si="133"/>
        <v>0</v>
      </c>
      <c r="G131" s="102">
        <f t="shared" si="133"/>
        <v>0</v>
      </c>
      <c r="H131" s="102">
        <f t="shared" si="133"/>
        <v>0</v>
      </c>
      <c r="I131" s="102">
        <f t="shared" si="133"/>
        <v>0</v>
      </c>
      <c r="J131" s="102">
        <f t="shared" si="133"/>
        <v>0</v>
      </c>
      <c r="K131" s="102">
        <f t="shared" si="133"/>
        <v>0</v>
      </c>
      <c r="L131" s="102">
        <f t="shared" si="133"/>
        <v>0</v>
      </c>
      <c r="M131" s="102">
        <f t="shared" si="133"/>
        <v>0</v>
      </c>
      <c r="N131" s="102">
        <f t="shared" si="133"/>
        <v>0</v>
      </c>
      <c r="O131" s="102">
        <f t="shared" si="133"/>
        <v>0</v>
      </c>
      <c r="P131" s="102">
        <f t="shared" si="133"/>
        <v>0</v>
      </c>
      <c r="Q131" s="102">
        <f t="shared" si="133"/>
        <v>0</v>
      </c>
      <c r="R131" s="102">
        <f t="shared" si="133"/>
        <v>0</v>
      </c>
      <c r="S131" s="102">
        <f t="shared" si="133"/>
        <v>0</v>
      </c>
      <c r="T131" s="102">
        <f t="shared" si="133"/>
        <v>0</v>
      </c>
      <c r="U131" s="102">
        <f t="shared" si="133"/>
        <v>0</v>
      </c>
      <c r="V131" s="102">
        <f t="shared" si="133"/>
        <v>0</v>
      </c>
      <c r="W131" s="102">
        <f t="shared" si="133"/>
        <v>0</v>
      </c>
      <c r="X131" s="102">
        <f t="shared" si="133"/>
        <v>0</v>
      </c>
      <c r="Y131" s="102">
        <f t="shared" si="133"/>
        <v>0</v>
      </c>
      <c r="Z131" s="102">
        <f t="shared" si="133"/>
        <v>46.93171209137455</v>
      </c>
      <c r="AA131" s="102">
        <f t="shared" si="133"/>
        <v>379.70758196361601</v>
      </c>
      <c r="AB131" s="102">
        <f t="shared" si="133"/>
        <v>764.68885148701111</v>
      </c>
      <c r="AC131" s="102">
        <f t="shared" si="133"/>
        <v>883.56688489464761</v>
      </c>
      <c r="AD131" s="102">
        <f t="shared" si="133"/>
        <v>930.88250524110344</v>
      </c>
      <c r="AE131" s="102">
        <f t="shared" si="133"/>
        <v>979.47279227586603</v>
      </c>
      <c r="AF131" s="102">
        <f t="shared" si="133"/>
        <v>1030.601017204219</v>
      </c>
      <c r="AG131" s="102">
        <f t="shared" si="133"/>
        <v>1084.3998292870897</v>
      </c>
      <c r="AH131" s="102">
        <f t="shared" si="133"/>
        <v>1141.008815825888</v>
      </c>
      <c r="AI131" s="102">
        <f t="shared" si="133"/>
        <v>1200.5748653184903</v>
      </c>
      <c r="AJ131" s="102">
        <f t="shared" si="133"/>
        <v>1263.2525496387284</v>
      </c>
      <c r="AK131" s="102">
        <f t="shared" si="133"/>
        <v>1329.2045262367324</v>
      </c>
      <c r="AL131" s="102">
        <f t="shared" si="133"/>
        <v>1398.6019614097986</v>
      </c>
      <c r="AM131" s="102">
        <f t="shared" si="133"/>
        <v>1471.6249757485516</v>
      </c>
      <c r="AN131" s="102">
        <f t="shared" si="133"/>
        <v>1548.4631129211275</v>
      </c>
      <c r="AO131" s="102">
        <f t="shared" si="133"/>
        <v>1629.315833019137</v>
      </c>
      <c r="AP131" s="102">
        <f t="shared" si="133"/>
        <v>1114.0272785956417</v>
      </c>
      <c r="AQ131" s="102">
        <f t="shared" si="133"/>
        <v>395.1358624009369</v>
      </c>
      <c r="AR131" s="102">
        <f t="shared" si="133"/>
        <v>248.16124528986893</v>
      </c>
      <c r="AS131" s="102">
        <f t="shared" si="133"/>
        <v>259.39640022508718</v>
      </c>
      <c r="AT131" s="102">
        <f t="shared" si="133"/>
        <v>273.8462221194381</v>
      </c>
      <c r="AU131" s="102">
        <f t="shared" si="133"/>
        <v>289.10097944310598</v>
      </c>
      <c r="AV131" s="102">
        <f t="shared" si="133"/>
        <v>305.20551157543457</v>
      </c>
      <c r="AW131" s="102">
        <f t="shared" si="133"/>
        <v>322.20715569853121</v>
      </c>
      <c r="AX131" s="102">
        <f t="shared" si="133"/>
        <v>340.15588593877027</v>
      </c>
      <c r="AY131" s="102">
        <f t="shared" si="133"/>
        <v>177.11902796314416</v>
      </c>
      <c r="AZ131" s="102">
        <f t="shared" si="133"/>
        <v>0</v>
      </c>
      <c r="BA131" s="102">
        <f t="shared" si="133"/>
        <v>0</v>
      </c>
      <c r="BB131" s="102">
        <f t="shared" si="133"/>
        <v>0</v>
      </c>
      <c r="BC131" s="102">
        <f t="shared" si="133"/>
        <v>0</v>
      </c>
      <c r="BD131" s="102">
        <f t="shared" si="133"/>
        <v>0</v>
      </c>
      <c r="BE131" s="102"/>
      <c r="BF131" s="102"/>
      <c r="BG131" s="102"/>
      <c r="BH131" s="102"/>
      <c r="BI131" s="102"/>
    </row>
    <row r="132" spans="1:61" s="17" customFormat="1" x14ac:dyDescent="0.25">
      <c r="A132" s="16" t="s">
        <v>224</v>
      </c>
      <c r="B132" s="101">
        <f t="shared" si="71"/>
        <v>11230.144679101546</v>
      </c>
      <c r="C132" s="102">
        <f t="shared" ref="C132:BD132" si="134">SUMIF($A$29:$A$129,"Interest",C29:C129)</f>
        <v>0</v>
      </c>
      <c r="D132" s="102">
        <f t="shared" si="134"/>
        <v>0</v>
      </c>
      <c r="E132" s="102">
        <f t="shared" si="134"/>
        <v>0</v>
      </c>
      <c r="F132" s="102">
        <f t="shared" si="134"/>
        <v>0</v>
      </c>
      <c r="G132" s="102">
        <f t="shared" si="134"/>
        <v>0</v>
      </c>
      <c r="H132" s="102">
        <f t="shared" si="134"/>
        <v>0</v>
      </c>
      <c r="I132" s="102">
        <f t="shared" si="134"/>
        <v>0</v>
      </c>
      <c r="J132" s="102">
        <f t="shared" si="134"/>
        <v>0</v>
      </c>
      <c r="K132" s="102">
        <f t="shared" si="134"/>
        <v>0</v>
      </c>
      <c r="L132" s="102">
        <f t="shared" si="134"/>
        <v>0</v>
      </c>
      <c r="M132" s="102">
        <f t="shared" si="134"/>
        <v>0</v>
      </c>
      <c r="N132" s="102">
        <f t="shared" si="134"/>
        <v>0</v>
      </c>
      <c r="O132" s="102">
        <f t="shared" si="134"/>
        <v>0</v>
      </c>
      <c r="P132" s="102">
        <f t="shared" si="134"/>
        <v>0</v>
      </c>
      <c r="Q132" s="102">
        <f t="shared" si="134"/>
        <v>0</v>
      </c>
      <c r="R132" s="102">
        <f t="shared" si="134"/>
        <v>0</v>
      </c>
      <c r="S132" s="102">
        <f t="shared" si="134"/>
        <v>0</v>
      </c>
      <c r="T132" s="102">
        <f t="shared" si="134"/>
        <v>0</v>
      </c>
      <c r="U132" s="102">
        <f t="shared" si="134"/>
        <v>0</v>
      </c>
      <c r="V132" s="102">
        <f t="shared" si="134"/>
        <v>0</v>
      </c>
      <c r="W132" s="102">
        <f t="shared" si="134"/>
        <v>0</v>
      </c>
      <c r="X132" s="102">
        <f t="shared" si="134"/>
        <v>0</v>
      </c>
      <c r="Y132" s="102">
        <f t="shared" si="134"/>
        <v>0</v>
      </c>
      <c r="Z132" s="102">
        <f t="shared" si="134"/>
        <v>135.05372020473285</v>
      </c>
      <c r="AA132" s="102">
        <f t="shared" si="134"/>
        <v>584.62903578634416</v>
      </c>
      <c r="AB132" s="102">
        <f t="shared" si="134"/>
        <v>961.71615541413416</v>
      </c>
      <c r="AC132" s="102">
        <f t="shared" si="134"/>
        <v>1007.0565837857363</v>
      </c>
      <c r="AD132" s="102">
        <f t="shared" si="134"/>
        <v>962.25678922507939</v>
      </c>
      <c r="AE132" s="102">
        <f t="shared" si="134"/>
        <v>913.66650219031669</v>
      </c>
      <c r="AF132" s="102">
        <f t="shared" si="134"/>
        <v>862.53827726196369</v>
      </c>
      <c r="AG132" s="102">
        <f t="shared" si="134"/>
        <v>808.73946517909314</v>
      </c>
      <c r="AH132" s="102">
        <f t="shared" si="134"/>
        <v>752.13047864029477</v>
      </c>
      <c r="AI132" s="102">
        <f t="shared" si="134"/>
        <v>692.56442914769252</v>
      </c>
      <c r="AJ132" s="102">
        <f t="shared" si="134"/>
        <v>629.88674482745432</v>
      </c>
      <c r="AK132" s="102">
        <f t="shared" si="134"/>
        <v>563.93476822945047</v>
      </c>
      <c r="AL132" s="102">
        <f t="shared" si="134"/>
        <v>494.53733305638417</v>
      </c>
      <c r="AM132" s="102">
        <f t="shared" si="134"/>
        <v>421.51431871763117</v>
      </c>
      <c r="AN132" s="102">
        <f t="shared" si="134"/>
        <v>344.67618154505539</v>
      </c>
      <c r="AO132" s="102">
        <f t="shared" si="134"/>
        <v>263.82346144704604</v>
      </c>
      <c r="AP132" s="102">
        <f t="shared" si="134"/>
        <v>178.74626271279573</v>
      </c>
      <c r="AQ132" s="102">
        <f t="shared" si="134"/>
        <v>135.56928975631538</v>
      </c>
      <c r="AR132" s="102">
        <f t="shared" si="134"/>
        <v>118.32544508814469</v>
      </c>
      <c r="AS132" s="102">
        <f t="shared" si="134"/>
        <v>104.5744643671276</v>
      </c>
      <c r="AT132" s="102">
        <f t="shared" si="134"/>
        <v>90.124642472776699</v>
      </c>
      <c r="AU132" s="102">
        <f t="shared" si="134"/>
        <v>74.869885149108811</v>
      </c>
      <c r="AV132" s="102">
        <f t="shared" si="134"/>
        <v>58.765353016780224</v>
      </c>
      <c r="AW132" s="102">
        <f t="shared" si="134"/>
        <v>41.763708893683557</v>
      </c>
      <c r="AX132" s="102">
        <f t="shared" si="134"/>
        <v>23.814978653444534</v>
      </c>
      <c r="AY132" s="102">
        <f t="shared" si="134"/>
        <v>4.8664043329632545</v>
      </c>
      <c r="AZ132" s="102">
        <f t="shared" si="134"/>
        <v>0</v>
      </c>
      <c r="BA132" s="102">
        <f t="shared" si="134"/>
        <v>0</v>
      </c>
      <c r="BB132" s="102">
        <f t="shared" si="134"/>
        <v>0</v>
      </c>
      <c r="BC132" s="102">
        <f t="shared" si="134"/>
        <v>0</v>
      </c>
      <c r="BD132" s="102">
        <f t="shared" si="134"/>
        <v>0</v>
      </c>
      <c r="BE132" s="102"/>
      <c r="BF132" s="102"/>
      <c r="BG132" s="102"/>
      <c r="BH132" s="102"/>
      <c r="BI132" s="102"/>
    </row>
    <row r="133" spans="1:61" s="17" customFormat="1" x14ac:dyDescent="0.25">
      <c r="A133" s="16" t="s">
        <v>225</v>
      </c>
      <c r="B133" s="101">
        <f t="shared" si="71"/>
        <v>32036.798062914884</v>
      </c>
      <c r="C133" s="102">
        <f>+C131+C132</f>
        <v>0</v>
      </c>
      <c r="D133" s="102">
        <f t="shared" ref="D133:AZ133" si="135">+D131+D132</f>
        <v>0</v>
      </c>
      <c r="E133" s="102">
        <f t="shared" si="135"/>
        <v>0</v>
      </c>
      <c r="F133" s="102">
        <f t="shared" si="135"/>
        <v>0</v>
      </c>
      <c r="G133" s="102">
        <f t="shared" si="135"/>
        <v>0</v>
      </c>
      <c r="H133" s="102">
        <f t="shared" si="135"/>
        <v>0</v>
      </c>
      <c r="I133" s="102">
        <f t="shared" si="135"/>
        <v>0</v>
      </c>
      <c r="J133" s="102">
        <f t="shared" si="135"/>
        <v>0</v>
      </c>
      <c r="K133" s="102">
        <f t="shared" si="135"/>
        <v>0</v>
      </c>
      <c r="L133" s="102">
        <f t="shared" si="135"/>
        <v>0</v>
      </c>
      <c r="M133" s="102">
        <f t="shared" si="135"/>
        <v>0</v>
      </c>
      <c r="N133" s="102">
        <f t="shared" si="135"/>
        <v>0</v>
      </c>
      <c r="O133" s="102">
        <f t="shared" si="135"/>
        <v>0</v>
      </c>
      <c r="P133" s="102">
        <f t="shared" si="135"/>
        <v>0</v>
      </c>
      <c r="Q133" s="102">
        <f t="shared" si="135"/>
        <v>0</v>
      </c>
      <c r="R133" s="102">
        <f t="shared" si="135"/>
        <v>0</v>
      </c>
      <c r="S133" s="102">
        <f t="shared" si="135"/>
        <v>0</v>
      </c>
      <c r="T133" s="102">
        <f t="shared" si="135"/>
        <v>0</v>
      </c>
      <c r="U133" s="102">
        <f t="shared" si="135"/>
        <v>0</v>
      </c>
      <c r="V133" s="102">
        <f t="shared" si="135"/>
        <v>0</v>
      </c>
      <c r="W133" s="102">
        <f t="shared" si="135"/>
        <v>0</v>
      </c>
      <c r="X133" s="102">
        <f t="shared" si="135"/>
        <v>0</v>
      </c>
      <c r="Y133" s="102">
        <f t="shared" si="135"/>
        <v>0</v>
      </c>
      <c r="Z133" s="102">
        <f t="shared" si="135"/>
        <v>181.9854322961074</v>
      </c>
      <c r="AA133" s="102">
        <f t="shared" si="135"/>
        <v>964.33661774996017</v>
      </c>
      <c r="AB133" s="102">
        <f t="shared" si="135"/>
        <v>1726.4050069011453</v>
      </c>
      <c r="AC133" s="102">
        <f t="shared" si="135"/>
        <v>1890.6234686803839</v>
      </c>
      <c r="AD133" s="102">
        <f t="shared" si="135"/>
        <v>1893.1392944661829</v>
      </c>
      <c r="AE133" s="102">
        <f t="shared" si="135"/>
        <v>1893.1392944661827</v>
      </c>
      <c r="AF133" s="102">
        <f t="shared" si="135"/>
        <v>1893.1392944661827</v>
      </c>
      <c r="AG133" s="102">
        <f t="shared" si="135"/>
        <v>1893.1392944661829</v>
      </c>
      <c r="AH133" s="102">
        <f t="shared" si="135"/>
        <v>1893.1392944661827</v>
      </c>
      <c r="AI133" s="102">
        <f t="shared" si="135"/>
        <v>1893.1392944661829</v>
      </c>
      <c r="AJ133" s="102">
        <f t="shared" si="135"/>
        <v>1893.1392944661827</v>
      </c>
      <c r="AK133" s="102">
        <f t="shared" si="135"/>
        <v>1893.1392944661829</v>
      </c>
      <c r="AL133" s="102">
        <f t="shared" si="135"/>
        <v>1893.1392944661827</v>
      </c>
      <c r="AM133" s="102">
        <f t="shared" si="135"/>
        <v>1893.1392944661827</v>
      </c>
      <c r="AN133" s="102">
        <f t="shared" si="135"/>
        <v>1893.1392944661829</v>
      </c>
      <c r="AO133" s="102">
        <f t="shared" si="135"/>
        <v>1893.1392944661829</v>
      </c>
      <c r="AP133" s="102">
        <f t="shared" si="135"/>
        <v>1292.7735413084374</v>
      </c>
      <c r="AQ133" s="102">
        <f t="shared" si="135"/>
        <v>530.70515215725231</v>
      </c>
      <c r="AR133" s="102">
        <f t="shared" si="135"/>
        <v>366.48669037801363</v>
      </c>
      <c r="AS133" s="102">
        <f t="shared" si="135"/>
        <v>363.97086459221475</v>
      </c>
      <c r="AT133" s="102">
        <f t="shared" si="135"/>
        <v>363.97086459221481</v>
      </c>
      <c r="AU133" s="102">
        <f t="shared" si="135"/>
        <v>363.97086459221481</v>
      </c>
      <c r="AV133" s="102">
        <f t="shared" si="135"/>
        <v>363.97086459221481</v>
      </c>
      <c r="AW133" s="102">
        <f t="shared" si="135"/>
        <v>363.97086459221475</v>
      </c>
      <c r="AX133" s="102">
        <f t="shared" si="135"/>
        <v>363.97086459221481</v>
      </c>
      <c r="AY133" s="102">
        <f t="shared" si="135"/>
        <v>181.9854322961074</v>
      </c>
      <c r="AZ133" s="102">
        <f t="shared" si="135"/>
        <v>0</v>
      </c>
      <c r="BA133" s="102">
        <f>+BA131+BA132</f>
        <v>0</v>
      </c>
      <c r="BB133" s="102">
        <f>+BB131+BB132</f>
        <v>0</v>
      </c>
      <c r="BC133" s="102">
        <f>+BC131+BC132</f>
        <v>0</v>
      </c>
      <c r="BD133" s="102">
        <f>+BD131+BD132</f>
        <v>0</v>
      </c>
      <c r="BE133" s="102"/>
      <c r="BF133" s="102"/>
      <c r="BG133" s="102"/>
      <c r="BH133" s="102"/>
      <c r="BI133" s="102"/>
    </row>
    <row r="134" spans="1:61" s="17" customFormat="1" x14ac:dyDescent="0.25">
      <c r="A134" s="16" t="s">
        <v>16</v>
      </c>
      <c r="B134" s="101"/>
      <c r="C134" s="102">
        <f t="shared" ref="C134:BD134" si="136">SUMIF($A$29:$A$129,"Balance",C29:C129)</f>
        <v>0</v>
      </c>
      <c r="D134" s="102">
        <f t="shared" si="136"/>
        <v>0</v>
      </c>
      <c r="E134" s="102">
        <f t="shared" si="136"/>
        <v>0</v>
      </c>
      <c r="F134" s="102">
        <f t="shared" si="136"/>
        <v>0</v>
      </c>
      <c r="G134" s="102">
        <f t="shared" si="136"/>
        <v>0</v>
      </c>
      <c r="H134" s="102">
        <f t="shared" si="136"/>
        <v>0</v>
      </c>
      <c r="I134" s="102">
        <f t="shared" si="136"/>
        <v>0</v>
      </c>
      <c r="J134" s="102">
        <f t="shared" si="136"/>
        <v>0</v>
      </c>
      <c r="K134" s="102">
        <f t="shared" si="136"/>
        <v>0</v>
      </c>
      <c r="L134" s="102">
        <f t="shared" si="136"/>
        <v>0</v>
      </c>
      <c r="M134" s="102">
        <f t="shared" si="136"/>
        <v>0</v>
      </c>
      <c r="N134" s="102">
        <f t="shared" si="136"/>
        <v>0</v>
      </c>
      <c r="O134" s="102">
        <f t="shared" si="136"/>
        <v>0</v>
      </c>
      <c r="P134" s="102">
        <f t="shared" si="136"/>
        <v>0</v>
      </c>
      <c r="Q134" s="102">
        <f t="shared" si="136"/>
        <v>0</v>
      </c>
      <c r="R134" s="102">
        <f t="shared" si="136"/>
        <v>0</v>
      </c>
      <c r="S134" s="102">
        <f t="shared" si="136"/>
        <v>0</v>
      </c>
      <c r="T134" s="102">
        <f t="shared" si="136"/>
        <v>0</v>
      </c>
      <c r="U134" s="102">
        <f t="shared" si="136"/>
        <v>0</v>
      </c>
      <c r="V134" s="102">
        <f t="shared" si="136"/>
        <v>0</v>
      </c>
      <c r="W134" s="102">
        <f t="shared" si="136"/>
        <v>0</v>
      </c>
      <c r="X134" s="102">
        <f t="shared" si="136"/>
        <v>0</v>
      </c>
      <c r="Y134" s="102">
        <f t="shared" si="136"/>
        <v>0</v>
      </c>
      <c r="Z134" s="102">
        <f t="shared" si="136"/>
        <v>4868.5216717219682</v>
      </c>
      <c r="AA134" s="102">
        <f t="shared" si="136"/>
        <v>16968.814089758351</v>
      </c>
      <c r="AB134" s="102">
        <f t="shared" si="136"/>
        <v>19563.32523827134</v>
      </c>
      <c r="AC134" s="102">
        <f t="shared" si="136"/>
        <v>18731.758353376692</v>
      </c>
      <c r="AD134" s="102">
        <f t="shared" si="136"/>
        <v>17800.875848135591</v>
      </c>
      <c r="AE134" s="102">
        <f t="shared" si="136"/>
        <v>16821.403055859722</v>
      </c>
      <c r="AF134" s="102">
        <f t="shared" si="136"/>
        <v>15790.802038655504</v>
      </c>
      <c r="AG134" s="102">
        <f t="shared" si="136"/>
        <v>14706.402209368418</v>
      </c>
      <c r="AH134" s="102">
        <f t="shared" si="136"/>
        <v>13565.393393542527</v>
      </c>
      <c r="AI134" s="102">
        <f t="shared" si="136"/>
        <v>12364.818528224039</v>
      </c>
      <c r="AJ134" s="102">
        <f t="shared" si="136"/>
        <v>11101.565978585309</v>
      </c>
      <c r="AK134" s="102">
        <f t="shared" si="136"/>
        <v>9772.3614523485776</v>
      </c>
      <c r="AL134" s="102">
        <f t="shared" si="136"/>
        <v>8373.7594909387772</v>
      </c>
      <c r="AM134" s="102">
        <f t="shared" si="136"/>
        <v>6902.134515190226</v>
      </c>
      <c r="AN134" s="102">
        <f t="shared" si="136"/>
        <v>5353.6714022690994</v>
      </c>
      <c r="AO134" s="102">
        <f t="shared" si="136"/>
        <v>3724.3555692499631</v>
      </c>
      <c r="AP134" s="102">
        <f t="shared" si="136"/>
        <v>2610.3282906543213</v>
      </c>
      <c r="AQ134" s="102">
        <f t="shared" si="136"/>
        <v>2215.1924282533805</v>
      </c>
      <c r="AR134" s="102">
        <f t="shared" si="136"/>
        <v>1967.0311829635091</v>
      </c>
      <c r="AS134" s="102">
        <f t="shared" si="136"/>
        <v>1707.634782738422</v>
      </c>
      <c r="AT134" s="102">
        <f t="shared" si="136"/>
        <v>1433.7885606189839</v>
      </c>
      <c r="AU134" s="102">
        <f t="shared" si="136"/>
        <v>1144.687581175878</v>
      </c>
      <c r="AV134" s="102">
        <f t="shared" si="136"/>
        <v>839.48206960044342</v>
      </c>
      <c r="AW134" s="102">
        <f t="shared" si="136"/>
        <v>517.27491390191221</v>
      </c>
      <c r="AX134" s="102">
        <f t="shared" si="136"/>
        <v>177.11902796314197</v>
      </c>
      <c r="AY134" s="102">
        <f t="shared" si="136"/>
        <v>-2.1901954028180624E-12</v>
      </c>
      <c r="AZ134" s="102">
        <f t="shared" si="136"/>
        <v>0</v>
      </c>
      <c r="BA134" s="102">
        <f t="shared" si="136"/>
        <v>0</v>
      </c>
      <c r="BB134" s="102">
        <f t="shared" si="136"/>
        <v>0</v>
      </c>
      <c r="BC134" s="102">
        <f t="shared" si="136"/>
        <v>0</v>
      </c>
      <c r="BD134" s="102">
        <f t="shared" si="136"/>
        <v>0</v>
      </c>
      <c r="BE134" s="102"/>
      <c r="BF134" s="102"/>
      <c r="BG134" s="102"/>
      <c r="BH134" s="102"/>
      <c r="BI134" s="102"/>
    </row>
    <row r="135" spans="1:61" x14ac:dyDescent="0.25">
      <c r="A135" s="21"/>
      <c r="B135" s="101"/>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row>
    <row r="136" spans="1:61" x14ac:dyDescent="0.25">
      <c r="A136" s="20" t="s">
        <v>229</v>
      </c>
      <c r="B136" s="101"/>
      <c r="C136" s="102"/>
      <c r="D136" s="102"/>
      <c r="E136" s="102"/>
      <c r="F136" s="102"/>
      <c r="G136" s="102"/>
      <c r="H136" s="102"/>
      <c r="I136" s="102"/>
      <c r="J136" s="102"/>
      <c r="K136" s="102"/>
      <c r="L136" s="102"/>
      <c r="M136" s="102"/>
      <c r="N136" s="102"/>
      <c r="O136" s="102"/>
      <c r="P136" s="102"/>
      <c r="Q136" s="102"/>
      <c r="R136" s="102"/>
      <c r="S136" s="102">
        <f t="shared" ref="S136:AC136" si="137">S23+S130</f>
        <v>0</v>
      </c>
      <c r="T136" s="102">
        <f t="shared" si="137"/>
        <v>0</v>
      </c>
      <c r="U136" s="102">
        <f t="shared" si="137"/>
        <v>0</v>
      </c>
      <c r="V136" s="102">
        <f t="shared" si="137"/>
        <v>0</v>
      </c>
      <c r="W136" s="102">
        <f t="shared" si="137"/>
        <v>0</v>
      </c>
      <c r="X136" s="102">
        <f t="shared" si="137"/>
        <v>431.79399999999998</v>
      </c>
      <c r="Y136" s="102">
        <f t="shared" si="137"/>
        <v>3572</v>
      </c>
      <c r="Z136" s="102">
        <f t="shared" si="137"/>
        <v>5036.7818638133431</v>
      </c>
      <c r="AA136" s="102">
        <f t="shared" si="137"/>
        <v>12480</v>
      </c>
      <c r="AB136" s="102">
        <f t="shared" si="137"/>
        <v>3359.2000000000003</v>
      </c>
      <c r="AC136" s="102">
        <f t="shared" si="137"/>
        <v>52</v>
      </c>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row>
    <row r="137" spans="1:61" x14ac:dyDescent="0.25">
      <c r="A137" s="16" t="s">
        <v>223</v>
      </c>
      <c r="B137" s="101">
        <f>SUM(C137:BB137)</f>
        <v>24931.478367308704</v>
      </c>
      <c r="C137" s="102">
        <f t="shared" ref="C137:BD139" si="138">SUM(C24,C131)</f>
        <v>0</v>
      </c>
      <c r="D137" s="102">
        <f t="shared" si="138"/>
        <v>0</v>
      </c>
      <c r="E137" s="102">
        <f t="shared" si="138"/>
        <v>0</v>
      </c>
      <c r="F137" s="102">
        <f t="shared" si="138"/>
        <v>0</v>
      </c>
      <c r="G137" s="102">
        <f t="shared" si="138"/>
        <v>0</v>
      </c>
      <c r="H137" s="102">
        <f t="shared" si="138"/>
        <v>0</v>
      </c>
      <c r="I137" s="102">
        <f t="shared" si="138"/>
        <v>0</v>
      </c>
      <c r="J137" s="102">
        <f t="shared" si="138"/>
        <v>0</v>
      </c>
      <c r="K137" s="102">
        <f t="shared" si="138"/>
        <v>0</v>
      </c>
      <c r="L137" s="102">
        <f t="shared" si="138"/>
        <v>0</v>
      </c>
      <c r="M137" s="102">
        <f t="shared" si="138"/>
        <v>0</v>
      </c>
      <c r="N137" s="102">
        <f t="shared" si="138"/>
        <v>0</v>
      </c>
      <c r="O137" s="102">
        <f t="shared" si="138"/>
        <v>0</v>
      </c>
      <c r="P137" s="102">
        <f t="shared" si="138"/>
        <v>0</v>
      </c>
      <c r="Q137" s="102">
        <f t="shared" si="138"/>
        <v>0</v>
      </c>
      <c r="R137" s="102">
        <f t="shared" si="138"/>
        <v>0</v>
      </c>
      <c r="S137" s="102">
        <f t="shared" si="138"/>
        <v>0</v>
      </c>
      <c r="T137" s="102">
        <f t="shared" si="138"/>
        <v>0</v>
      </c>
      <c r="U137" s="102">
        <f t="shared" si="138"/>
        <v>0</v>
      </c>
      <c r="V137" s="102">
        <f t="shared" si="138"/>
        <v>0</v>
      </c>
      <c r="W137" s="102">
        <f t="shared" si="138"/>
        <v>0</v>
      </c>
      <c r="X137" s="102">
        <f t="shared" si="138"/>
        <v>1.9417967631999997</v>
      </c>
      <c r="Y137" s="102">
        <f t="shared" si="138"/>
        <v>20.031059206241217</v>
      </c>
      <c r="Z137" s="102">
        <f t="shared" si="138"/>
        <v>138.99466042837355</v>
      </c>
      <c r="AA137" s="102">
        <f t="shared" si="138"/>
        <v>477.05748789562512</v>
      </c>
      <c r="AB137" s="102">
        <f t="shared" si="138"/>
        <v>866.35977013306569</v>
      </c>
      <c r="AC137" s="102">
        <f t="shared" si="138"/>
        <v>989.75758800647941</v>
      </c>
      <c r="AD137" s="102">
        <f t="shared" si="138"/>
        <v>1041.8011190901825</v>
      </c>
      <c r="AE137" s="102">
        <f t="shared" si="138"/>
        <v>1095.3372801543676</v>
      </c>
      <c r="AF137" s="102">
        <f t="shared" si="138"/>
        <v>1151.6396092236175</v>
      </c>
      <c r="AG137" s="102">
        <f t="shared" si="138"/>
        <v>1210.8515220363493</v>
      </c>
      <c r="AH137" s="102">
        <f t="shared" si="138"/>
        <v>1273.1239195740225</v>
      </c>
      <c r="AI137" s="102">
        <f t="shared" si="138"/>
        <v>1338.6155023170418</v>
      </c>
      <c r="AJ137" s="102">
        <f t="shared" si="138"/>
        <v>1407.4932506011999</v>
      </c>
      <c r="AK137" s="102">
        <f t="shared" si="138"/>
        <v>1479.9328190780391</v>
      </c>
      <c r="AL137" s="102">
        <f t="shared" si="138"/>
        <v>1556.1189907467774</v>
      </c>
      <c r="AM137" s="102">
        <f t="shared" si="138"/>
        <v>1636.2461491271797</v>
      </c>
      <c r="AN137" s="102">
        <f t="shared" si="138"/>
        <v>1720.5188168548907</v>
      </c>
      <c r="AO137" s="102">
        <f t="shared" si="138"/>
        <v>1809.1521105041361</v>
      </c>
      <c r="AP137" s="102">
        <f t="shared" si="138"/>
        <v>1302.0066155663608</v>
      </c>
      <c r="AQ137" s="102">
        <f t="shared" si="138"/>
        <v>591.63796961112371</v>
      </c>
      <c r="AR137" s="102">
        <f t="shared" si="138"/>
        <v>453.58387903898921</v>
      </c>
      <c r="AS137" s="102">
        <f t="shared" si="138"/>
        <v>474.15623984172618</v>
      </c>
      <c r="AT137" s="102">
        <f t="shared" si="138"/>
        <v>498.37978467112271</v>
      </c>
      <c r="AU137" s="102">
        <f t="shared" si="138"/>
        <v>523.86555737913966</v>
      </c>
      <c r="AV137" s="102">
        <f t="shared" si="138"/>
        <v>550.68019859402864</v>
      </c>
      <c r="AW137" s="102">
        <f t="shared" si="138"/>
        <v>575.01296766365647</v>
      </c>
      <c r="AX137" s="102">
        <f t="shared" si="138"/>
        <v>565.75740481284265</v>
      </c>
      <c r="AY137" s="102">
        <f t="shared" si="138"/>
        <v>181.4242983889167</v>
      </c>
      <c r="AZ137" s="102">
        <f t="shared" si="138"/>
        <v>0</v>
      </c>
      <c r="BA137" s="102">
        <f t="shared" si="138"/>
        <v>0</v>
      </c>
      <c r="BB137" s="102">
        <f t="shared" si="138"/>
        <v>0</v>
      </c>
      <c r="BC137" s="102">
        <f t="shared" si="138"/>
        <v>0</v>
      </c>
      <c r="BD137" s="102">
        <f t="shared" si="138"/>
        <v>0</v>
      </c>
      <c r="BE137" s="102"/>
      <c r="BF137" s="102"/>
      <c r="BG137" s="102"/>
      <c r="BH137" s="102"/>
      <c r="BI137" s="102"/>
    </row>
    <row r="138" spans="1:61" x14ac:dyDescent="0.25">
      <c r="A138" s="16" t="s">
        <v>224</v>
      </c>
      <c r="B138" s="101">
        <f>SUM(C138:BB138)</f>
        <v>14014.355544844706</v>
      </c>
      <c r="C138" s="102">
        <f t="shared" si="138"/>
        <v>0</v>
      </c>
      <c r="D138" s="102">
        <f t="shared" si="138"/>
        <v>0</v>
      </c>
      <c r="E138" s="102">
        <f t="shared" si="138"/>
        <v>0</v>
      </c>
      <c r="F138" s="102">
        <f t="shared" si="138"/>
        <v>0</v>
      </c>
      <c r="G138" s="102">
        <f t="shared" si="138"/>
        <v>0</v>
      </c>
      <c r="H138" s="102">
        <f t="shared" si="138"/>
        <v>0</v>
      </c>
      <c r="I138" s="102">
        <f t="shared" si="138"/>
        <v>0</v>
      </c>
      <c r="J138" s="102">
        <f t="shared" si="138"/>
        <v>0</v>
      </c>
      <c r="K138" s="102">
        <f t="shared" si="138"/>
        <v>0</v>
      </c>
      <c r="L138" s="102">
        <f t="shared" si="138"/>
        <v>0</v>
      </c>
      <c r="M138" s="102">
        <f t="shared" si="138"/>
        <v>0</v>
      </c>
      <c r="N138" s="102">
        <f t="shared" si="138"/>
        <v>0</v>
      </c>
      <c r="O138" s="102">
        <f t="shared" si="138"/>
        <v>0</v>
      </c>
      <c r="P138" s="102">
        <f t="shared" si="138"/>
        <v>0</v>
      </c>
      <c r="Q138" s="102">
        <f t="shared" si="138"/>
        <v>0</v>
      </c>
      <c r="R138" s="102">
        <f t="shared" si="138"/>
        <v>0</v>
      </c>
      <c r="S138" s="102">
        <f t="shared" si="138"/>
        <v>0</v>
      </c>
      <c r="T138" s="102">
        <f t="shared" si="138"/>
        <v>0</v>
      </c>
      <c r="U138" s="102">
        <f t="shared" si="138"/>
        <v>0</v>
      </c>
      <c r="V138" s="102">
        <f t="shared" si="138"/>
        <v>0</v>
      </c>
      <c r="W138" s="102">
        <f t="shared" si="138"/>
        <v>0</v>
      </c>
      <c r="X138" s="102">
        <f t="shared" si="138"/>
        <v>5.2169634821999997</v>
      </c>
      <c r="Y138" s="102">
        <f t="shared" si="138"/>
        <v>35.497259133386265</v>
      </c>
      <c r="Z138" s="102">
        <f t="shared" si="138"/>
        <v>316.42162420064051</v>
      </c>
      <c r="AA138" s="102">
        <f t="shared" si="138"/>
        <v>763.18265419615602</v>
      </c>
      <c r="AB138" s="102">
        <f t="shared" si="138"/>
        <v>1135.9303649757355</v>
      </c>
      <c r="AC138" s="102">
        <f t="shared" si="138"/>
        <v>1176.7318320334573</v>
      </c>
      <c r="AD138" s="102">
        <f t="shared" si="138"/>
        <v>1127.184126810231</v>
      </c>
      <c r="AE138" s="102">
        <f t="shared" si="138"/>
        <v>1073.6271279643215</v>
      </c>
      <c r="AF138" s="102">
        <f t="shared" si="138"/>
        <v>1017.3030652542375</v>
      </c>
      <c r="AG138" s="102">
        <f t="shared" si="138"/>
        <v>958.06849291028129</v>
      </c>
      <c r="AH138" s="102">
        <f t="shared" si="138"/>
        <v>895.7724642855535</v>
      </c>
      <c r="AI138" s="102">
        <f t="shared" si="138"/>
        <v>830.25624781333886</v>
      </c>
      <c r="AJ138" s="102">
        <f t="shared" si="138"/>
        <v>761.35279926353462</v>
      </c>
      <c r="AK138" s="102">
        <f t="shared" si="138"/>
        <v>688.88643386179319</v>
      </c>
      <c r="AL138" s="102">
        <f t="shared" si="138"/>
        <v>612.67230759058543</v>
      </c>
      <c r="AM138" s="102">
        <f t="shared" si="138"/>
        <v>532.51598873935495</v>
      </c>
      <c r="AN138" s="102">
        <f t="shared" si="138"/>
        <v>448.21290563086404</v>
      </c>
      <c r="AO138" s="102">
        <f t="shared" si="138"/>
        <v>359.54787566979883</v>
      </c>
      <c r="AP138" s="102">
        <f t="shared" si="138"/>
        <v>266.29450754977347</v>
      </c>
      <c r="AQ138" s="102">
        <f t="shared" si="138"/>
        <v>214.56022241424165</v>
      </c>
      <c r="AR138" s="102">
        <f t="shared" si="138"/>
        <v>188.35980171854862</v>
      </c>
      <c r="AS138" s="102">
        <f t="shared" si="138"/>
        <v>165.23399968134532</v>
      </c>
      <c r="AT138" s="102">
        <f t="shared" si="138"/>
        <v>140.97120256062581</v>
      </c>
      <c r="AU138" s="102">
        <f t="shared" si="138"/>
        <v>115.44445316468192</v>
      </c>
      <c r="AV138" s="102">
        <f t="shared" si="138"/>
        <v>88.58704561299389</v>
      </c>
      <c r="AW138" s="102">
        <f t="shared" si="138"/>
        <v>60.360720367606177</v>
      </c>
      <c r="AX138" s="102">
        <f t="shared" si="138"/>
        <v>31.24974513475232</v>
      </c>
      <c r="AY138" s="102">
        <f t="shared" si="138"/>
        <v>4.9133128246644722</v>
      </c>
      <c r="AZ138" s="102">
        <f t="shared" si="138"/>
        <v>0</v>
      </c>
      <c r="BA138" s="102">
        <f t="shared" si="138"/>
        <v>0</v>
      </c>
      <c r="BB138" s="102">
        <f t="shared" si="138"/>
        <v>0</v>
      </c>
      <c r="BC138" s="102">
        <f t="shared" si="138"/>
        <v>0</v>
      </c>
      <c r="BD138" s="102">
        <f t="shared" si="138"/>
        <v>0</v>
      </c>
      <c r="BE138" s="102"/>
      <c r="BF138" s="102"/>
      <c r="BG138" s="102"/>
      <c r="BH138" s="102"/>
      <c r="BI138" s="102"/>
    </row>
    <row r="139" spans="1:61" x14ac:dyDescent="0.25">
      <c r="A139" s="16" t="s">
        <v>225</v>
      </c>
      <c r="B139" s="101">
        <f>SUM(C139:BB139)</f>
        <v>38945.833912153408</v>
      </c>
      <c r="C139" s="102">
        <f t="shared" si="138"/>
        <v>0</v>
      </c>
      <c r="D139" s="102">
        <f t="shared" si="138"/>
        <v>0</v>
      </c>
      <c r="E139" s="102">
        <f t="shared" si="138"/>
        <v>0</v>
      </c>
      <c r="F139" s="102">
        <f t="shared" si="138"/>
        <v>0</v>
      </c>
      <c r="G139" s="102">
        <f t="shared" si="138"/>
        <v>0</v>
      </c>
      <c r="H139" s="102">
        <f t="shared" si="138"/>
        <v>0</v>
      </c>
      <c r="I139" s="102">
        <f t="shared" si="138"/>
        <v>0</v>
      </c>
      <c r="J139" s="102">
        <f t="shared" si="138"/>
        <v>0</v>
      </c>
      <c r="K139" s="102">
        <f t="shared" si="138"/>
        <v>0</v>
      </c>
      <c r="L139" s="102">
        <f t="shared" si="138"/>
        <v>0</v>
      </c>
      <c r="M139" s="102">
        <f t="shared" si="138"/>
        <v>0</v>
      </c>
      <c r="N139" s="102">
        <f t="shared" si="138"/>
        <v>0</v>
      </c>
      <c r="O139" s="102">
        <f t="shared" si="138"/>
        <v>0</v>
      </c>
      <c r="P139" s="102">
        <f t="shared" si="138"/>
        <v>0</v>
      </c>
      <c r="Q139" s="102">
        <f t="shared" si="138"/>
        <v>0</v>
      </c>
      <c r="R139" s="102">
        <f t="shared" si="138"/>
        <v>0</v>
      </c>
      <c r="S139" s="102">
        <f t="shared" si="138"/>
        <v>0</v>
      </c>
      <c r="T139" s="102">
        <f t="shared" si="138"/>
        <v>0</v>
      </c>
      <c r="U139" s="102">
        <f t="shared" si="138"/>
        <v>0</v>
      </c>
      <c r="V139" s="102">
        <f t="shared" si="138"/>
        <v>0</v>
      </c>
      <c r="W139" s="102">
        <f t="shared" si="138"/>
        <v>0</v>
      </c>
      <c r="X139" s="102">
        <f t="shared" si="138"/>
        <v>7.1587602453999999</v>
      </c>
      <c r="Y139" s="102">
        <f t="shared" si="138"/>
        <v>55.528318339627482</v>
      </c>
      <c r="Z139" s="102">
        <f t="shared" si="138"/>
        <v>455.41628462901406</v>
      </c>
      <c r="AA139" s="102">
        <f t="shared" si="138"/>
        <v>1240.2401420917813</v>
      </c>
      <c r="AB139" s="102">
        <f t="shared" si="138"/>
        <v>2002.2901351088012</v>
      </c>
      <c r="AC139" s="102">
        <f t="shared" si="138"/>
        <v>2166.4894200399367</v>
      </c>
      <c r="AD139" s="102">
        <f t="shared" si="138"/>
        <v>2168.9852459004137</v>
      </c>
      <c r="AE139" s="102">
        <f t="shared" si="138"/>
        <v>2168.9644081186889</v>
      </c>
      <c r="AF139" s="102">
        <f t="shared" si="138"/>
        <v>2168.9426744778548</v>
      </c>
      <c r="AG139" s="102">
        <f t="shared" si="138"/>
        <v>2168.9200149466305</v>
      </c>
      <c r="AH139" s="102">
        <f t="shared" si="138"/>
        <v>2168.896383859576</v>
      </c>
      <c r="AI139" s="102">
        <f t="shared" si="138"/>
        <v>2168.8717501303809</v>
      </c>
      <c r="AJ139" s="102">
        <f t="shared" si="138"/>
        <v>2168.8460498647346</v>
      </c>
      <c r="AK139" s="102">
        <f t="shared" si="138"/>
        <v>2168.8192529398325</v>
      </c>
      <c r="AL139" s="102">
        <f t="shared" si="138"/>
        <v>2168.7912983373626</v>
      </c>
      <c r="AM139" s="102">
        <f t="shared" si="138"/>
        <v>2168.7621378665344</v>
      </c>
      <c r="AN139" s="102">
        <f t="shared" si="138"/>
        <v>2168.7317224857547</v>
      </c>
      <c r="AO139" s="102">
        <f t="shared" si="138"/>
        <v>2168.699986173935</v>
      </c>
      <c r="AP139" s="102">
        <f t="shared" si="138"/>
        <v>1568.3011231161342</v>
      </c>
      <c r="AQ139" s="102">
        <f t="shared" si="138"/>
        <v>806.19819202536542</v>
      </c>
      <c r="AR139" s="102">
        <f t="shared" si="138"/>
        <v>641.94368075753778</v>
      </c>
      <c r="AS139" s="102">
        <f t="shared" si="138"/>
        <v>639.3902395230715</v>
      </c>
      <c r="AT139" s="102">
        <f t="shared" si="138"/>
        <v>639.35098723174849</v>
      </c>
      <c r="AU139" s="102">
        <f t="shared" si="138"/>
        <v>639.31001054382159</v>
      </c>
      <c r="AV139" s="102">
        <f t="shared" si="138"/>
        <v>639.26724420702249</v>
      </c>
      <c r="AW139" s="102">
        <f t="shared" si="138"/>
        <v>635.37368803126265</v>
      </c>
      <c r="AX139" s="102">
        <f t="shared" si="138"/>
        <v>597.00714994759494</v>
      </c>
      <c r="AY139" s="102">
        <f t="shared" si="138"/>
        <v>186.33761121358114</v>
      </c>
      <c r="AZ139" s="102">
        <f t="shared" si="138"/>
        <v>0</v>
      </c>
      <c r="BA139" s="102">
        <f t="shared" si="138"/>
        <v>0</v>
      </c>
      <c r="BB139" s="102">
        <f t="shared" si="138"/>
        <v>0</v>
      </c>
      <c r="BC139" s="102">
        <f t="shared" si="138"/>
        <v>0</v>
      </c>
      <c r="BD139" s="102">
        <f t="shared" si="138"/>
        <v>0</v>
      </c>
      <c r="BE139" s="102"/>
      <c r="BF139" s="102"/>
      <c r="BG139" s="102"/>
      <c r="BH139" s="102"/>
      <c r="BI139" s="102"/>
    </row>
  </sheetData>
  <pageMargins left="0.7" right="0.7" top="0.75" bottom="0.75" header="0.3" footer="0.3"/>
  <pageSetup paperSize="5" scale="8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6EFA9-9F66-48B9-A608-F709E0E96AFB}">
  <sheetPr>
    <pageSetUpPr fitToPage="1"/>
  </sheetPr>
  <dimension ref="A1:BJ139"/>
  <sheetViews>
    <sheetView zoomScale="80" zoomScaleNormal="80" workbookViewId="0">
      <pane xSplit="2" ySplit="2" topLeftCell="S3" activePane="bottomRight" state="frozen"/>
      <selection pane="topRight" activeCell="X98" sqref="X98"/>
      <selection pane="bottomLeft" activeCell="X98" sqref="X98"/>
      <selection pane="bottomRight" activeCell="A2" sqref="A2"/>
    </sheetView>
  </sheetViews>
  <sheetFormatPr defaultColWidth="9.21875" defaultRowHeight="13.2" outlineLevelRow="1" outlineLevelCol="1" x14ac:dyDescent="0.25"/>
  <cols>
    <col min="1" max="1" width="44.44140625" style="20" customWidth="1"/>
    <col min="2" max="2" width="12.77734375" style="21" customWidth="1"/>
    <col min="3" max="18" width="10.77734375" style="19" hidden="1" customWidth="1" outlineLevel="1"/>
    <col min="19" max="19" width="10.77734375" style="19" customWidth="1" collapsed="1"/>
    <col min="20" max="29" width="10.77734375" style="19" customWidth="1"/>
    <col min="30" max="61" width="10.77734375" style="19" customWidth="1" outlineLevel="1"/>
    <col min="62" max="16384" width="9.21875" style="19"/>
  </cols>
  <sheetData>
    <row r="1" spans="1:62" ht="15.6" x14ac:dyDescent="0.3">
      <c r="A1" s="110" t="s">
        <v>239</v>
      </c>
      <c r="B1" s="18" t="s">
        <v>186</v>
      </c>
      <c r="C1" s="18">
        <v>2000</v>
      </c>
      <c r="D1" s="18">
        <f>C1+1</f>
        <v>2001</v>
      </c>
      <c r="E1" s="18">
        <f t="shared" ref="E1:BI1" si="0">D1+1</f>
        <v>2002</v>
      </c>
      <c r="F1" s="18">
        <f t="shared" si="0"/>
        <v>2003</v>
      </c>
      <c r="G1" s="18">
        <f t="shared" si="0"/>
        <v>2004</v>
      </c>
      <c r="H1" s="18">
        <f>G1+1</f>
        <v>2005</v>
      </c>
      <c r="I1" s="18">
        <f t="shared" si="0"/>
        <v>2006</v>
      </c>
      <c r="J1" s="18">
        <f t="shared" si="0"/>
        <v>2007</v>
      </c>
      <c r="K1" s="18">
        <f t="shared" si="0"/>
        <v>2008</v>
      </c>
      <c r="L1" s="18">
        <f t="shared" si="0"/>
        <v>2009</v>
      </c>
      <c r="M1" s="18">
        <f t="shared" si="0"/>
        <v>2010</v>
      </c>
      <c r="N1" s="18">
        <f t="shared" si="0"/>
        <v>2011</v>
      </c>
      <c r="O1" s="18">
        <f t="shared" si="0"/>
        <v>2012</v>
      </c>
      <c r="P1" s="18">
        <f t="shared" si="0"/>
        <v>2013</v>
      </c>
      <c r="Q1" s="18">
        <f t="shared" si="0"/>
        <v>2014</v>
      </c>
      <c r="R1" s="18">
        <f t="shared" si="0"/>
        <v>2015</v>
      </c>
      <c r="S1" s="18">
        <f t="shared" si="0"/>
        <v>2016</v>
      </c>
      <c r="T1" s="18">
        <f t="shared" si="0"/>
        <v>2017</v>
      </c>
      <c r="U1" s="18">
        <f t="shared" si="0"/>
        <v>2018</v>
      </c>
      <c r="V1" s="18">
        <f t="shared" si="0"/>
        <v>2019</v>
      </c>
      <c r="W1" s="18">
        <f t="shared" si="0"/>
        <v>2020</v>
      </c>
      <c r="X1" s="18">
        <f t="shared" si="0"/>
        <v>2021</v>
      </c>
      <c r="Y1" s="18">
        <f t="shared" si="0"/>
        <v>2022</v>
      </c>
      <c r="Z1" s="18">
        <f t="shared" si="0"/>
        <v>2023</v>
      </c>
      <c r="AA1" s="18">
        <f t="shared" si="0"/>
        <v>2024</v>
      </c>
      <c r="AB1" s="18">
        <f t="shared" si="0"/>
        <v>2025</v>
      </c>
      <c r="AC1" s="18">
        <f t="shared" si="0"/>
        <v>2026</v>
      </c>
      <c r="AD1" s="18">
        <f t="shared" si="0"/>
        <v>2027</v>
      </c>
      <c r="AE1" s="18">
        <f t="shared" si="0"/>
        <v>2028</v>
      </c>
      <c r="AF1" s="18">
        <f t="shared" si="0"/>
        <v>2029</v>
      </c>
      <c r="AG1" s="18">
        <f t="shared" si="0"/>
        <v>2030</v>
      </c>
      <c r="AH1" s="18">
        <f t="shared" si="0"/>
        <v>2031</v>
      </c>
      <c r="AI1" s="18">
        <f t="shared" si="0"/>
        <v>2032</v>
      </c>
      <c r="AJ1" s="18">
        <f t="shared" si="0"/>
        <v>2033</v>
      </c>
      <c r="AK1" s="18">
        <f t="shared" si="0"/>
        <v>2034</v>
      </c>
      <c r="AL1" s="18">
        <f t="shared" si="0"/>
        <v>2035</v>
      </c>
      <c r="AM1" s="18">
        <f t="shared" si="0"/>
        <v>2036</v>
      </c>
      <c r="AN1" s="18">
        <f t="shared" si="0"/>
        <v>2037</v>
      </c>
      <c r="AO1" s="18">
        <f t="shared" si="0"/>
        <v>2038</v>
      </c>
      <c r="AP1" s="18">
        <f t="shared" si="0"/>
        <v>2039</v>
      </c>
      <c r="AQ1" s="18">
        <f t="shared" si="0"/>
        <v>2040</v>
      </c>
      <c r="AR1" s="18">
        <f t="shared" si="0"/>
        <v>2041</v>
      </c>
      <c r="AS1" s="18">
        <f t="shared" si="0"/>
        <v>2042</v>
      </c>
      <c r="AT1" s="18">
        <f t="shared" si="0"/>
        <v>2043</v>
      </c>
      <c r="AU1" s="18">
        <f t="shared" si="0"/>
        <v>2044</v>
      </c>
      <c r="AV1" s="18">
        <f t="shared" si="0"/>
        <v>2045</v>
      </c>
      <c r="AW1" s="18">
        <f t="shared" si="0"/>
        <v>2046</v>
      </c>
      <c r="AX1" s="18">
        <f t="shared" si="0"/>
        <v>2047</v>
      </c>
      <c r="AY1" s="18">
        <f t="shared" si="0"/>
        <v>2048</v>
      </c>
      <c r="AZ1" s="18">
        <f t="shared" si="0"/>
        <v>2049</v>
      </c>
      <c r="BA1" s="18">
        <f t="shared" si="0"/>
        <v>2050</v>
      </c>
      <c r="BB1" s="18">
        <f t="shared" si="0"/>
        <v>2051</v>
      </c>
      <c r="BC1" s="18">
        <f t="shared" si="0"/>
        <v>2052</v>
      </c>
      <c r="BD1" s="18">
        <f t="shared" si="0"/>
        <v>2053</v>
      </c>
      <c r="BE1" s="18">
        <f t="shared" si="0"/>
        <v>2054</v>
      </c>
      <c r="BF1" s="18">
        <f t="shared" si="0"/>
        <v>2055</v>
      </c>
      <c r="BG1" s="18">
        <f t="shared" si="0"/>
        <v>2056</v>
      </c>
      <c r="BH1" s="18">
        <f t="shared" si="0"/>
        <v>2057</v>
      </c>
      <c r="BI1" s="18">
        <f t="shared" si="0"/>
        <v>2058</v>
      </c>
      <c r="BJ1" s="111"/>
    </row>
    <row r="2" spans="1:62" ht="26.4" x14ac:dyDescent="0.25">
      <c r="A2" s="112" t="s">
        <v>207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62" ht="26.4" x14ac:dyDescent="0.25">
      <c r="A3" s="112" t="s">
        <v>208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62" x14ac:dyDescent="0.25">
      <c r="A4" s="113" t="s">
        <v>209</v>
      </c>
      <c r="B4" s="89">
        <f>SUM(C4:BB4)</f>
        <v>14567.222800000001</v>
      </c>
      <c r="C4" s="90"/>
      <c r="D4" s="90"/>
      <c r="E4" s="90"/>
      <c r="F4" s="90"/>
      <c r="G4" s="90"/>
      <c r="H4" s="90"/>
      <c r="I4" s="90"/>
      <c r="J4" s="90"/>
      <c r="K4" s="90"/>
      <c r="L4" s="90"/>
      <c r="M4" s="90"/>
      <c r="N4" s="90"/>
      <c r="O4" s="90"/>
      <c r="P4" s="90"/>
      <c r="Q4" s="90"/>
      <c r="R4" s="90"/>
      <c r="S4" s="90"/>
      <c r="T4" s="90">
        <v>762</v>
      </c>
      <c r="U4" s="90">
        <v>3892</v>
      </c>
      <c r="V4" s="90">
        <v>315.47541999999999</v>
      </c>
      <c r="W4" s="90">
        <v>346.99299999999999</v>
      </c>
      <c r="X4" s="90">
        <v>5886.4580000000014</v>
      </c>
      <c r="Y4" s="90">
        <v>2979</v>
      </c>
      <c r="Z4" s="90">
        <v>385.29638</v>
      </c>
      <c r="AA4" s="90"/>
      <c r="AB4" s="90"/>
      <c r="AC4" s="90"/>
      <c r="AD4" s="92"/>
      <c r="AE4" s="92"/>
      <c r="AF4" s="92"/>
      <c r="AG4" s="92"/>
      <c r="AH4" s="92"/>
      <c r="AI4" s="92"/>
      <c r="AJ4" s="92"/>
      <c r="AK4" s="92"/>
      <c r="AL4" s="92"/>
      <c r="AM4" s="92"/>
      <c r="AN4" s="92"/>
      <c r="AO4" s="92"/>
      <c r="AP4" s="92"/>
      <c r="AQ4" s="92"/>
      <c r="AR4" s="91"/>
      <c r="AS4" s="91"/>
      <c r="AT4" s="91"/>
    </row>
    <row r="5" spans="1:62" x14ac:dyDescent="0.25">
      <c r="A5" s="20" t="s">
        <v>210</v>
      </c>
      <c r="B5" s="89"/>
      <c r="C5" s="114"/>
      <c r="D5" s="114"/>
      <c r="E5" s="114"/>
      <c r="F5" s="114"/>
      <c r="G5" s="114"/>
      <c r="H5" s="114"/>
      <c r="I5" s="114"/>
      <c r="J5" s="114"/>
      <c r="K5" s="114"/>
      <c r="L5" s="114"/>
      <c r="M5" s="114"/>
      <c r="N5" s="114"/>
      <c r="O5" s="114"/>
      <c r="P5" s="114"/>
      <c r="Q5" s="114"/>
      <c r="R5" s="115"/>
      <c r="T5" s="115" t="s">
        <v>240</v>
      </c>
      <c r="U5" s="115">
        <v>3.3000000000000002E-2</v>
      </c>
      <c r="V5" s="116">
        <v>2.69E-2</v>
      </c>
      <c r="W5" s="19" t="s">
        <v>212</v>
      </c>
      <c r="X5" s="19" t="s">
        <v>241</v>
      </c>
      <c r="Y5" s="19" t="s">
        <v>214</v>
      </c>
      <c r="Z5" s="240">
        <v>5.33E-2</v>
      </c>
      <c r="AD5" s="92"/>
      <c r="AE5" s="92"/>
      <c r="AF5" s="92"/>
      <c r="AG5" s="92"/>
      <c r="AH5" s="92"/>
      <c r="AI5" s="92"/>
      <c r="AJ5" s="92"/>
      <c r="AK5" s="92"/>
      <c r="AL5" s="92"/>
      <c r="AM5" s="92"/>
      <c r="AN5" s="92"/>
      <c r="AO5" s="92"/>
      <c r="AP5" s="92"/>
      <c r="AQ5" s="92"/>
      <c r="AR5" s="91"/>
      <c r="AS5" s="91"/>
      <c r="AT5" s="91"/>
    </row>
    <row r="6" spans="1:62" x14ac:dyDescent="0.25">
      <c r="A6" s="20" t="s">
        <v>215</v>
      </c>
      <c r="B6" s="89"/>
      <c r="C6" s="90"/>
      <c r="D6" s="90"/>
      <c r="E6" s="90"/>
      <c r="F6" s="90"/>
      <c r="G6" s="90"/>
      <c r="H6" s="90"/>
      <c r="I6" s="90"/>
      <c r="J6" s="90"/>
      <c r="K6" s="90"/>
      <c r="L6" s="90"/>
      <c r="M6" s="90"/>
      <c r="N6" s="90"/>
      <c r="O6" s="90"/>
      <c r="P6" s="90"/>
      <c r="Q6" s="90"/>
      <c r="R6" s="90"/>
      <c r="T6" s="90">
        <v>25</v>
      </c>
      <c r="U6" s="90">
        <v>25</v>
      </c>
      <c r="V6" s="19">
        <v>25</v>
      </c>
      <c r="W6" s="19">
        <v>25</v>
      </c>
      <c r="X6" s="19">
        <v>25</v>
      </c>
      <c r="Y6" s="19">
        <v>25</v>
      </c>
      <c r="Z6" s="19">
        <v>25</v>
      </c>
      <c r="AD6" s="92"/>
      <c r="AE6" s="92"/>
      <c r="AF6" s="92"/>
      <c r="AG6" s="92"/>
      <c r="AH6" s="92"/>
      <c r="AI6" s="92"/>
      <c r="AJ6" s="92"/>
      <c r="AK6" s="92"/>
      <c r="AL6" s="92"/>
      <c r="AM6" s="92"/>
      <c r="AN6" s="92"/>
      <c r="AO6" s="92"/>
      <c r="AP6" s="92"/>
      <c r="AQ6" s="92"/>
      <c r="AR6" s="91"/>
      <c r="AS6" s="91"/>
      <c r="AT6" s="91"/>
    </row>
    <row r="7" spans="1:62" x14ac:dyDescent="0.25">
      <c r="B7" s="89"/>
      <c r="C7" s="90"/>
      <c r="D7" s="90"/>
      <c r="E7" s="90"/>
      <c r="F7" s="90"/>
      <c r="G7" s="90"/>
      <c r="H7" s="90"/>
      <c r="I7" s="90"/>
      <c r="J7" s="90"/>
      <c r="K7" s="90"/>
      <c r="L7" s="90"/>
      <c r="M7" s="90"/>
      <c r="N7" s="90"/>
      <c r="O7" s="90"/>
      <c r="P7" s="90"/>
      <c r="Q7" s="90"/>
      <c r="R7" s="93"/>
      <c r="S7" s="93"/>
      <c r="T7" s="93"/>
      <c r="U7" s="93"/>
      <c r="V7" s="93"/>
      <c r="W7" s="93"/>
      <c r="X7" s="93"/>
      <c r="Y7" s="93"/>
      <c r="Z7" s="93"/>
      <c r="AA7" s="93"/>
      <c r="AB7" s="93"/>
      <c r="AC7" s="93"/>
      <c r="AD7" s="92"/>
      <c r="AE7" s="92"/>
      <c r="AF7" s="92"/>
      <c r="AG7" s="92"/>
      <c r="AH7" s="92"/>
      <c r="AI7" s="92"/>
      <c r="AJ7" s="92"/>
      <c r="AK7" s="92"/>
      <c r="AL7" s="92"/>
      <c r="AM7" s="92"/>
      <c r="AN7" s="92"/>
      <c r="AO7" s="92"/>
      <c r="AP7" s="92"/>
      <c r="AQ7" s="92"/>
      <c r="AR7" s="91"/>
      <c r="AS7" s="91"/>
      <c r="AT7" s="91"/>
    </row>
    <row r="8" spans="1:62" x14ac:dyDescent="0.25">
      <c r="A8" s="113" t="s">
        <v>216</v>
      </c>
      <c r="B8" s="89">
        <f>SUM(C8:BB8)</f>
        <v>1185.8646326984344</v>
      </c>
      <c r="C8" s="90"/>
      <c r="D8" s="90"/>
      <c r="E8" s="90"/>
      <c r="F8" s="90"/>
      <c r="G8" s="90"/>
      <c r="H8" s="90"/>
      <c r="I8" s="90"/>
      <c r="J8" s="90"/>
      <c r="K8" s="90"/>
      <c r="L8" s="90"/>
      <c r="M8" s="90"/>
      <c r="N8" s="90"/>
      <c r="O8" s="90"/>
      <c r="P8" s="90"/>
      <c r="Q8" s="90"/>
      <c r="R8" s="90"/>
      <c r="S8" s="90"/>
      <c r="T8" s="90"/>
      <c r="U8" s="90"/>
      <c r="V8" s="90"/>
      <c r="W8" s="90"/>
      <c r="X8" s="90"/>
      <c r="Y8" s="90"/>
      <c r="Z8" s="90">
        <f>SUM('Tab 5 - Capital'!I36:P36)-SUM('Tab 10 - Pine'!S4:Z4)</f>
        <v>1185.8646326984344</v>
      </c>
      <c r="AA8" s="90">
        <f>'Tab 5 - Capital'!Q36</f>
        <v>0</v>
      </c>
      <c r="AB8" s="90">
        <f>'Tab 5 - Capital'!R36</f>
        <v>0</v>
      </c>
      <c r="AC8" s="90">
        <f>'Tab 5 - Capital'!S36</f>
        <v>0</v>
      </c>
      <c r="AD8" s="90">
        <f>'Tab 5 - Capital'!T36</f>
        <v>0</v>
      </c>
      <c r="AE8" s="90">
        <f>'Tab 5 - Capital'!U36</f>
        <v>0</v>
      </c>
      <c r="AF8" s="90">
        <f>'Tab 5 - Capital'!V36</f>
        <v>0</v>
      </c>
      <c r="AG8" s="90">
        <f>'Tab 5 - Capital'!W36</f>
        <v>0</v>
      </c>
      <c r="AH8" s="90">
        <f>'Tab 5 - Capital'!X36</f>
        <v>0</v>
      </c>
      <c r="AI8" s="90">
        <f>'Tab 5 - Capital'!Y36</f>
        <v>0</v>
      </c>
      <c r="AJ8" s="90">
        <f>'Tab 5 - Capital'!Z36</f>
        <v>0</v>
      </c>
      <c r="AK8" s="90"/>
      <c r="AL8" s="90"/>
      <c r="AM8" s="90"/>
      <c r="AN8" s="90"/>
      <c r="AO8" s="90"/>
      <c r="AP8" s="90"/>
      <c r="AQ8" s="90"/>
      <c r="AR8" s="91"/>
      <c r="AS8" s="91"/>
      <c r="AT8" s="91"/>
    </row>
    <row r="9" spans="1:62" x14ac:dyDescent="0.25">
      <c r="A9" s="20" t="str">
        <f>A5</f>
        <v>Interest Rate</v>
      </c>
      <c r="B9" s="89"/>
      <c r="C9" s="90"/>
      <c r="D9" s="90"/>
      <c r="E9" s="90"/>
      <c r="F9" s="90"/>
      <c r="G9" s="90"/>
      <c r="H9" s="90"/>
      <c r="I9" s="90"/>
      <c r="J9" s="90"/>
      <c r="K9" s="90"/>
      <c r="L9" s="90"/>
      <c r="M9" s="90"/>
      <c r="N9" s="90"/>
      <c r="O9" s="90"/>
      <c r="P9" s="90"/>
      <c r="Q9" s="90"/>
      <c r="R9" s="94"/>
      <c r="S9" s="94"/>
      <c r="T9" s="94"/>
      <c r="U9" s="94"/>
      <c r="V9" s="94"/>
      <c r="W9" s="94"/>
      <c r="X9" s="94"/>
      <c r="Y9" s="94"/>
      <c r="Z9" s="94">
        <f>'Tab 8 - Shepard'!Z9</f>
        <v>5.4950666666666662E-2</v>
      </c>
      <c r="AA9" s="94">
        <f>'Tab 8 - Shepard'!AA9</f>
        <v>5.1029714285714275E-2</v>
      </c>
      <c r="AB9" s="94">
        <f>'Tab 8 - Shepard'!AB9</f>
        <v>5.1126714285714282E-2</v>
      </c>
      <c r="AC9" s="94">
        <f>'Tab 8 - Shepard'!AC9</f>
        <v>5.1888714285714281E-2</v>
      </c>
      <c r="AD9" s="94">
        <f>'Tab 8 - Shepard'!AD9</f>
        <v>5.3080714285714287E-2</v>
      </c>
      <c r="AE9" s="94">
        <f>'Tab 8 - Shepard'!AE9</f>
        <v>5.4233714285714281E-2</v>
      </c>
      <c r="AF9" s="94">
        <f>'Tab 8 - Shepard'!AF9</f>
        <v>5.5004714285714275E-2</v>
      </c>
      <c r="AG9" s="94">
        <f>'Tab 8 - Shepard'!AG9</f>
        <v>5.5750714285714278E-2</v>
      </c>
      <c r="AH9" s="94">
        <f>'Tab 8 - Shepard'!AH9</f>
        <v>5.6173714285714278E-2</v>
      </c>
      <c r="AI9" s="94">
        <f>'Tab 8 - Shepard'!AI9</f>
        <v>5.6544714285714288E-2</v>
      </c>
      <c r="AJ9" s="91"/>
      <c r="AK9" s="91"/>
      <c r="AL9" s="91"/>
      <c r="AM9" s="91"/>
      <c r="AN9" s="91"/>
      <c r="AO9" s="91"/>
      <c r="AP9" s="91"/>
      <c r="AQ9" s="91"/>
      <c r="AR9" s="91"/>
      <c r="AS9" s="91"/>
      <c r="AT9" s="91"/>
    </row>
    <row r="10" spans="1:62" x14ac:dyDescent="0.25">
      <c r="A10" s="20" t="str">
        <f>A6</f>
        <v>Term (in years)</v>
      </c>
      <c r="B10" s="89"/>
      <c r="C10" s="90"/>
      <c r="D10" s="90"/>
      <c r="E10" s="90"/>
      <c r="F10" s="90"/>
      <c r="G10" s="90"/>
      <c r="H10" s="90"/>
      <c r="I10" s="90"/>
      <c r="J10" s="90"/>
      <c r="K10" s="90"/>
      <c r="L10" s="90"/>
      <c r="M10" s="90"/>
      <c r="N10" s="90"/>
      <c r="O10" s="90"/>
      <c r="P10" s="90"/>
      <c r="Q10" s="90"/>
      <c r="R10" s="93"/>
      <c r="S10" s="93"/>
      <c r="T10" s="93"/>
      <c r="U10" s="93"/>
      <c r="V10" s="93"/>
      <c r="W10" s="93"/>
      <c r="X10" s="93"/>
      <c r="Y10" s="93"/>
      <c r="Z10" s="93">
        <v>25</v>
      </c>
      <c r="AA10" s="93">
        <v>15</v>
      </c>
      <c r="AB10" s="93">
        <v>15</v>
      </c>
      <c r="AC10" s="93">
        <v>15</v>
      </c>
      <c r="AD10" s="93">
        <v>15</v>
      </c>
      <c r="AE10" s="93">
        <v>15</v>
      </c>
      <c r="AF10" s="93">
        <v>15</v>
      </c>
      <c r="AG10" s="93">
        <v>15</v>
      </c>
      <c r="AH10" s="93">
        <v>15</v>
      </c>
      <c r="AI10" s="93">
        <v>15</v>
      </c>
      <c r="AJ10" s="91"/>
      <c r="AK10" s="91"/>
      <c r="AL10" s="91"/>
      <c r="AM10" s="91"/>
      <c r="AN10" s="91"/>
      <c r="AO10" s="91"/>
      <c r="AP10" s="91"/>
      <c r="AQ10" s="91"/>
      <c r="AR10" s="91"/>
      <c r="AS10" s="91"/>
      <c r="AT10" s="91"/>
    </row>
    <row r="11" spans="1:62" x14ac:dyDescent="0.25">
      <c r="B11" s="89"/>
      <c r="C11" s="90"/>
      <c r="D11" s="90"/>
      <c r="E11" s="90"/>
      <c r="F11" s="90"/>
      <c r="G11" s="90"/>
      <c r="H11" s="90"/>
      <c r="I11" s="90"/>
      <c r="J11" s="90"/>
      <c r="K11" s="90"/>
      <c r="L11" s="90"/>
      <c r="M11" s="90"/>
      <c r="N11" s="90"/>
      <c r="O11" s="90"/>
      <c r="P11" s="90"/>
      <c r="Q11" s="90"/>
      <c r="R11" s="93"/>
      <c r="S11" s="93"/>
      <c r="T11" s="93"/>
      <c r="U11" s="93"/>
      <c r="V11" s="93"/>
      <c r="W11" s="93"/>
      <c r="X11" s="93"/>
      <c r="Y11" s="93"/>
      <c r="Z11" s="93"/>
      <c r="AA11" s="93"/>
      <c r="AB11" s="93"/>
      <c r="AC11" s="93"/>
      <c r="AD11" s="91"/>
      <c r="AE11" s="91"/>
      <c r="AF11" s="91"/>
      <c r="AG11" s="91"/>
      <c r="AH11" s="91"/>
      <c r="AI11" s="91"/>
      <c r="AJ11" s="91"/>
      <c r="AK11" s="91"/>
      <c r="AL11" s="91"/>
      <c r="AM11" s="91"/>
      <c r="AN11" s="91"/>
      <c r="AO11" s="91"/>
      <c r="AP11" s="91"/>
      <c r="AQ11" s="91"/>
      <c r="AR11" s="91"/>
      <c r="AS11" s="91"/>
      <c r="AT11" s="91"/>
    </row>
    <row r="12" spans="1:62" x14ac:dyDescent="0.25">
      <c r="B12" s="89"/>
      <c r="C12" s="90"/>
      <c r="D12" s="90"/>
      <c r="E12" s="90"/>
      <c r="F12" s="90"/>
      <c r="G12" s="90"/>
      <c r="H12" s="90"/>
      <c r="I12" s="90"/>
      <c r="J12" s="90"/>
      <c r="K12" s="90"/>
      <c r="L12" s="90"/>
      <c r="M12" s="90"/>
      <c r="N12" s="90"/>
      <c r="O12" s="90"/>
      <c r="P12" s="90"/>
      <c r="Q12" s="90"/>
      <c r="R12" s="91"/>
      <c r="S12" s="93"/>
      <c r="T12" s="93"/>
      <c r="U12" s="93"/>
      <c r="V12" s="93"/>
      <c r="W12" s="93"/>
      <c r="X12" s="93"/>
      <c r="Y12" s="93"/>
      <c r="Z12" s="93"/>
      <c r="AA12" s="93"/>
      <c r="AB12" s="93"/>
      <c r="AC12" s="93"/>
      <c r="AD12" s="91"/>
      <c r="AE12" s="91"/>
      <c r="AF12" s="91"/>
      <c r="AG12" s="91"/>
      <c r="AH12" s="91"/>
      <c r="AI12" s="91"/>
      <c r="AJ12" s="91"/>
      <c r="AK12" s="91"/>
      <c r="AL12" s="91"/>
      <c r="AM12" s="91"/>
      <c r="AN12" s="91"/>
      <c r="AO12" s="91"/>
      <c r="AP12" s="91"/>
      <c r="AQ12" s="91"/>
      <c r="AR12" s="91"/>
      <c r="AS12" s="91"/>
      <c r="AT12" s="91"/>
    </row>
    <row r="13" spans="1:62" s="91" customFormat="1" hidden="1" outlineLevel="1" x14ac:dyDescent="0.25">
      <c r="A13" s="95" t="s">
        <v>217</v>
      </c>
      <c r="B13" s="89">
        <f>SUM(C13:BB13)</f>
        <v>14182.210770000002</v>
      </c>
      <c r="C13" s="99"/>
      <c r="D13" s="99"/>
      <c r="E13" s="99"/>
      <c r="F13" s="99"/>
      <c r="G13" s="99"/>
      <c r="H13" s="105"/>
      <c r="I13" s="105"/>
      <c r="J13" s="105"/>
      <c r="K13" s="105"/>
      <c r="L13" s="105"/>
      <c r="M13" s="98"/>
      <c r="N13" s="98"/>
      <c r="O13" s="98"/>
      <c r="P13" s="98"/>
      <c r="Q13" s="98"/>
      <c r="R13" s="99"/>
      <c r="S13" s="99"/>
      <c r="T13" s="99">
        <v>0</v>
      </c>
      <c r="U13" s="99">
        <v>71.251289999999997</v>
      </c>
      <c r="V13" s="99">
        <v>126.8241140940396</v>
      </c>
      <c r="W13" s="99">
        <v>138.55175013054043</v>
      </c>
      <c r="X13" s="99">
        <v>204.10592354010558</v>
      </c>
      <c r="Y13" s="99">
        <v>325.77821390051406</v>
      </c>
      <c r="Z13" s="99">
        <v>397.47644662771501</v>
      </c>
      <c r="AA13" s="99">
        <v>410.60992737516415</v>
      </c>
      <c r="AB13" s="99">
        <v>424.20252514035735</v>
      </c>
      <c r="AC13" s="99">
        <v>438.27126332812537</v>
      </c>
      <c r="AD13" s="99">
        <v>452.83392163705173</v>
      </c>
      <c r="AE13" s="99">
        <v>467.90896718625055</v>
      </c>
      <c r="AF13" s="99">
        <v>483.51554949756149</v>
      </c>
      <c r="AG13" s="99">
        <v>499.6736439767987</v>
      </c>
      <c r="AH13" s="99">
        <v>516.40397488653991</v>
      </c>
      <c r="AI13" s="99">
        <v>533.7281194614493</v>
      </c>
      <c r="AJ13" s="99">
        <v>551.66850623776986</v>
      </c>
      <c r="AK13" s="99">
        <v>570.24853134583987</v>
      </c>
      <c r="AL13" s="99">
        <v>589.49240891385273</v>
      </c>
      <c r="AM13" s="99">
        <v>609.42540962217686</v>
      </c>
      <c r="AN13" s="99">
        <v>630.07387730354492</v>
      </c>
      <c r="AO13" s="99">
        <v>651.46507314904659</v>
      </c>
      <c r="AP13" s="99">
        <v>673.62752446042157</v>
      </c>
      <c r="AQ13" s="99">
        <v>696.59082340988653</v>
      </c>
      <c r="AR13" s="99">
        <v>720.38582744002008</v>
      </c>
      <c r="AS13" s="99">
        <v>745.04414959345024</v>
      </c>
      <c r="AT13" s="99">
        <v>611.28498990114099</v>
      </c>
      <c r="AU13" s="99">
        <v>511.9232122131836</v>
      </c>
      <c r="AV13" s="99">
        <v>514.99893324854725</v>
      </c>
      <c r="AW13" s="99">
        <v>416.0284916767165</v>
      </c>
      <c r="AX13" s="99">
        <v>198.81738070218796</v>
      </c>
      <c r="AY13" s="99">
        <v>0</v>
      </c>
      <c r="AZ13" s="99">
        <v>0</v>
      </c>
      <c r="BA13" s="99">
        <v>0</v>
      </c>
      <c r="BB13" s="91">
        <v>0</v>
      </c>
      <c r="BC13" s="91">
        <v>0</v>
      </c>
    </row>
    <row r="14" spans="1:62" s="91" customFormat="1" hidden="1" outlineLevel="1" x14ac:dyDescent="0.25">
      <c r="A14" s="95" t="s">
        <v>218</v>
      </c>
      <c r="B14" s="89">
        <f>SUM(C14:BB14)</f>
        <v>6987.4418898835502</v>
      </c>
      <c r="C14" s="99"/>
      <c r="D14" s="99"/>
      <c r="E14" s="99"/>
      <c r="F14" s="99"/>
      <c r="G14" s="99"/>
      <c r="H14" s="105"/>
      <c r="I14" s="105"/>
      <c r="J14" s="105"/>
      <c r="K14" s="105"/>
      <c r="L14" s="105"/>
      <c r="M14" s="98"/>
      <c r="N14" s="98"/>
      <c r="O14" s="98"/>
      <c r="P14" s="98"/>
      <c r="Q14" s="98"/>
      <c r="R14" s="99"/>
      <c r="S14" s="99"/>
      <c r="T14" s="99">
        <v>3.4950299999999999</v>
      </c>
      <c r="U14" s="99">
        <v>125.14485000000001</v>
      </c>
      <c r="V14" s="99">
        <v>151.16886885356666</v>
      </c>
      <c r="W14" s="99">
        <v>154.57605686216743</v>
      </c>
      <c r="X14" s="99">
        <v>226.37810146737553</v>
      </c>
      <c r="Y14" s="99">
        <v>332.65780311270368</v>
      </c>
      <c r="Z14" s="99">
        <v>446.879404706527</v>
      </c>
      <c r="AA14" s="99">
        <v>433.6629592686615</v>
      </c>
      <c r="AB14" s="99">
        <v>419.9844564272006</v>
      </c>
      <c r="AC14" s="99">
        <v>405.82667727869034</v>
      </c>
      <c r="AD14" s="99">
        <v>391.17175375229198</v>
      </c>
      <c r="AE14" s="99">
        <v>376.00110163265947</v>
      </c>
      <c r="AF14" s="99">
        <v>360.29544837697659</v>
      </c>
      <c r="AG14" s="99">
        <v>344.03466289294988</v>
      </c>
      <c r="AH14" s="99">
        <v>327.19788835239899</v>
      </c>
      <c r="AI14" s="99">
        <v>309.7634467808993</v>
      </c>
      <c r="AJ14" s="99">
        <v>291.70868866196099</v>
      </c>
      <c r="AK14" s="99">
        <v>273.01009757057153</v>
      </c>
      <c r="AL14" s="99">
        <v>253.64328436969049</v>
      </c>
      <c r="AM14" s="99">
        <v>233.58280394357638</v>
      </c>
      <c r="AN14" s="99">
        <v>212.80219237254244</v>
      </c>
      <c r="AO14" s="99">
        <v>191.27391996288907</v>
      </c>
      <c r="AP14" s="99">
        <v>168.96930694560368</v>
      </c>
      <c r="AQ14" s="99">
        <v>145.85856951045952</v>
      </c>
      <c r="AR14" s="99">
        <v>121.91063856285048</v>
      </c>
      <c r="AS14" s="99">
        <v>97.093173186868967</v>
      </c>
      <c r="AT14" s="99">
        <v>73.041762605238958</v>
      </c>
      <c r="AU14" s="99">
        <v>54.716469330509064</v>
      </c>
      <c r="AV14" s="99">
        <v>36.744469585716608</v>
      </c>
      <c r="AW14" s="99">
        <v>18.817711435753427</v>
      </c>
      <c r="AX14" s="99">
        <v>6.0302920742507338</v>
      </c>
      <c r="AY14" s="99">
        <v>0</v>
      </c>
      <c r="AZ14" s="99">
        <v>0</v>
      </c>
      <c r="BA14" s="99">
        <v>0</v>
      </c>
      <c r="BB14" s="91">
        <v>0</v>
      </c>
      <c r="BC14" s="91">
        <v>0</v>
      </c>
    </row>
    <row r="15" spans="1:62" s="92" customFormat="1" hidden="1" outlineLevel="1" x14ac:dyDescent="0.25">
      <c r="A15" s="100"/>
      <c r="B15" s="96"/>
      <c r="C15" s="96"/>
      <c r="D15" s="96"/>
      <c r="E15" s="96"/>
      <c r="F15" s="96"/>
      <c r="G15" s="96"/>
      <c r="H15" s="97"/>
      <c r="I15" s="97"/>
      <c r="J15" s="97"/>
      <c r="K15" s="97"/>
      <c r="L15" s="97"/>
      <c r="M15" s="98"/>
      <c r="N15" s="98"/>
      <c r="O15" s="98"/>
      <c r="P15" s="98"/>
      <c r="Q15" s="98"/>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62" s="92" customFormat="1" hidden="1" outlineLevel="1" x14ac:dyDescent="0.25">
      <c r="A16" s="95" t="s">
        <v>219</v>
      </c>
      <c r="B16" s="101">
        <f>SUM(C16:BC16)</f>
        <v>385.29638</v>
      </c>
      <c r="C16" s="96"/>
      <c r="D16" s="96"/>
      <c r="E16" s="96"/>
      <c r="F16" s="96"/>
      <c r="G16" s="96"/>
      <c r="H16" s="97"/>
      <c r="I16" s="97"/>
      <c r="J16" s="97"/>
      <c r="K16" s="97"/>
      <c r="L16" s="97"/>
      <c r="M16" s="98"/>
      <c r="N16" s="98"/>
      <c r="O16" s="98"/>
      <c r="P16" s="98"/>
      <c r="Q16" s="98"/>
      <c r="R16" s="96"/>
      <c r="S16" s="96"/>
      <c r="T16" s="96"/>
      <c r="U16" s="96"/>
      <c r="V16" s="96"/>
      <c r="W16" s="96"/>
      <c r="X16" s="99"/>
      <c r="Y16" s="96"/>
      <c r="Z16" s="96">
        <f>Z4</f>
        <v>385.29638</v>
      </c>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row>
    <row r="17" spans="1:61" s="92" customFormat="1" hidden="1" outlineLevel="1" x14ac:dyDescent="0.25">
      <c r="A17" s="16" t="s">
        <v>163</v>
      </c>
      <c r="B17" s="101">
        <f>SUM(C17:BC17)</f>
        <v>385.29638</v>
      </c>
      <c r="C17" s="96"/>
      <c r="D17" s="96"/>
      <c r="E17" s="96"/>
      <c r="F17" s="96"/>
      <c r="G17" s="96"/>
      <c r="H17" s="97"/>
      <c r="I17" s="97"/>
      <c r="J17" s="97"/>
      <c r="K17" s="97"/>
      <c r="L17" s="97"/>
      <c r="M17" s="98"/>
      <c r="N17" s="98"/>
      <c r="O17" s="98"/>
      <c r="P17" s="98"/>
      <c r="Q17" s="98"/>
      <c r="R17" s="96"/>
      <c r="S17" s="96"/>
      <c r="T17" s="96"/>
      <c r="U17" s="96"/>
      <c r="V17" s="96"/>
      <c r="W17" s="96"/>
      <c r="X17" s="99"/>
      <c r="Y17" s="99"/>
      <c r="Z17" s="99">
        <v>3.7681958807726552</v>
      </c>
      <c r="AA17" s="99">
        <v>7.8403345158141136</v>
      </c>
      <c r="AB17" s="99">
        <v>8.2637941246061324</v>
      </c>
      <c r="AC17" s="99">
        <v>8.7101224924745235</v>
      </c>
      <c r="AD17" s="99">
        <v>9.18055787687058</v>
      </c>
      <c r="AE17" s="99">
        <v>9.676402546806095</v>
      </c>
      <c r="AF17" s="99">
        <v>10.19902566224374</v>
      </c>
      <c r="AG17" s="99">
        <v>10.749878812567179</v>
      </c>
      <c r="AH17" s="99">
        <v>11.330481927589179</v>
      </c>
      <c r="AI17" s="99">
        <v>11.942443777964881</v>
      </c>
      <c r="AJ17" s="99">
        <v>12.587458626489891</v>
      </c>
      <c r="AK17" s="99">
        <v>13.26730837176277</v>
      </c>
      <c r="AL17" s="99">
        <v>13.983879516567292</v>
      </c>
      <c r="AM17" s="99">
        <v>14.739153019113404</v>
      </c>
      <c r="AN17" s="99">
        <v>15.535216585458752</v>
      </c>
      <c r="AO17" s="99">
        <v>16.374277839443572</v>
      </c>
      <c r="AP17" s="99">
        <v>17.25865607315535</v>
      </c>
      <c r="AQ17" s="99">
        <v>18.190800542569875</v>
      </c>
      <c r="AR17" s="99">
        <v>19.173288751656678</v>
      </c>
      <c r="AS17" s="99">
        <v>20.208842726577032</v>
      </c>
      <c r="AT17" s="99">
        <v>21.300326544495405</v>
      </c>
      <c r="AU17" s="99">
        <v>22.450762035812602</v>
      </c>
      <c r="AV17" s="99">
        <v>23.663333990547724</v>
      </c>
      <c r="AW17" s="99">
        <v>24.941394548316474</v>
      </c>
      <c r="AX17" s="96">
        <v>26.288483984726849</v>
      </c>
      <c r="AY17" s="96">
        <v>13.671959225597279</v>
      </c>
      <c r="AZ17" s="96"/>
      <c r="BA17" s="96"/>
      <c r="BB17" s="96"/>
      <c r="BC17" s="96"/>
      <c r="BD17" s="96"/>
      <c r="BE17" s="96"/>
      <c r="BF17" s="96"/>
      <c r="BG17" s="96"/>
      <c r="BH17" s="96"/>
      <c r="BI17" s="96"/>
    </row>
    <row r="18" spans="1:61" s="92" customFormat="1" hidden="1" outlineLevel="1" x14ac:dyDescent="0.25">
      <c r="A18" s="16" t="s">
        <v>164</v>
      </c>
      <c r="B18" s="101">
        <f>SUM(C18:BC18)</f>
        <v>316.52081145294346</v>
      </c>
      <c r="C18" s="96"/>
      <c r="D18" s="96"/>
      <c r="E18" s="96"/>
      <c r="F18" s="96"/>
      <c r="G18" s="96"/>
      <c r="H18" s="97"/>
      <c r="I18" s="97"/>
      <c r="J18" s="97"/>
      <c r="K18" s="97"/>
      <c r="L18" s="97"/>
      <c r="M18" s="98"/>
      <c r="N18" s="98"/>
      <c r="O18" s="98"/>
      <c r="P18" s="98"/>
      <c r="Q18" s="98"/>
      <c r="R18" s="96"/>
      <c r="S18" s="96"/>
      <c r="T18" s="96"/>
      <c r="U18" s="96"/>
      <c r="V18" s="96"/>
      <c r="W18" s="96"/>
      <c r="X18" s="99"/>
      <c r="Y18" s="99"/>
      <c r="Z18" s="99">
        <v>16.278903529476246</v>
      </c>
      <c r="AA18" s="99">
        <v>20.108833711557885</v>
      </c>
      <c r="AB18" s="99">
        <v>19.678704371396002</v>
      </c>
      <c r="AC18" s="99">
        <v>19.225344028055328</v>
      </c>
      <c r="AD18" s="99">
        <v>18.747495761785292</v>
      </c>
      <c r="AE18" s="99">
        <v>18.243840376735459</v>
      </c>
      <c r="AF18" s="99">
        <v>17.712983067257625</v>
      </c>
      <c r="AG18" s="99">
        <v>17.153451968427589</v>
      </c>
      <c r="AH18" s="99">
        <v>16.563701443637346</v>
      </c>
      <c r="AI18" s="99">
        <v>15.942098403805048</v>
      </c>
      <c r="AJ18" s="99">
        <v>15.286922532247718</v>
      </c>
      <c r="AK18" s="99">
        <v>14.59636154761084</v>
      </c>
      <c r="AL18" s="99">
        <v>13.868501218872318</v>
      </c>
      <c r="AM18" s="99">
        <v>13.101329163789849</v>
      </c>
      <c r="AN18" s="99">
        <v>12.292723189553962</v>
      </c>
      <c r="AO18" s="99">
        <v>11.440443554107794</v>
      </c>
      <c r="AP18" s="99">
        <v>10.542132149743438</v>
      </c>
      <c r="AQ18" s="99">
        <v>9.5953024569962224</v>
      </c>
      <c r="AR18" s="99">
        <v>8.5973364819252325</v>
      </c>
      <c r="AS18" s="99">
        <v>7.545468237476503</v>
      </c>
      <c r="AT18" s="99">
        <v>6.4367877252594941</v>
      </c>
      <c r="AU18" s="99">
        <v>5.2682274185200537</v>
      </c>
      <c r="AV18" s="99">
        <v>4.0365531962013996</v>
      </c>
      <c r="AW18" s="99">
        <v>2.7383575233208952</v>
      </c>
      <c r="AX18" s="96">
        <v>1.3700450148860359</v>
      </c>
      <c r="AY18" s="96">
        <v>0.14896338029790537</v>
      </c>
      <c r="AZ18" s="96"/>
      <c r="BA18" s="96"/>
      <c r="BB18" s="96"/>
      <c r="BC18" s="96"/>
      <c r="BD18" s="96"/>
      <c r="BE18" s="96"/>
      <c r="BF18" s="96"/>
      <c r="BG18" s="96"/>
      <c r="BH18" s="96"/>
      <c r="BI18" s="96"/>
    </row>
    <row r="19" spans="1:61" s="92" customFormat="1" hidden="1" outlineLevel="1" x14ac:dyDescent="0.25">
      <c r="A19" s="16" t="s">
        <v>220</v>
      </c>
      <c r="B19" s="101">
        <f>SUM(C19:BC19)</f>
        <v>701.81719145294358</v>
      </c>
      <c r="C19" s="96"/>
      <c r="D19" s="96"/>
      <c r="E19" s="96"/>
      <c r="F19" s="96"/>
      <c r="G19" s="96"/>
      <c r="H19" s="97"/>
      <c r="I19" s="97"/>
      <c r="J19" s="97"/>
      <c r="K19" s="97"/>
      <c r="L19" s="97"/>
      <c r="M19" s="98"/>
      <c r="N19" s="98"/>
      <c r="O19" s="98"/>
      <c r="P19" s="98"/>
      <c r="Q19" s="98"/>
      <c r="R19" s="96"/>
      <c r="S19" s="96"/>
      <c r="T19" s="96"/>
      <c r="U19" s="96"/>
      <c r="V19" s="96"/>
      <c r="W19" s="96"/>
      <c r="X19" s="99"/>
      <c r="Y19" s="99"/>
      <c r="Z19" s="99">
        <f t="shared" ref="Z19:AX19" si="1">Z17+Z18</f>
        <v>20.047099410248901</v>
      </c>
      <c r="AA19" s="99">
        <f t="shared" si="1"/>
        <v>27.949168227371999</v>
      </c>
      <c r="AB19" s="99">
        <f t="shared" si="1"/>
        <v>27.942498496002134</v>
      </c>
      <c r="AC19" s="99">
        <f t="shared" si="1"/>
        <v>27.93546652052985</v>
      </c>
      <c r="AD19" s="99">
        <f t="shared" si="1"/>
        <v>27.928053638655872</v>
      </c>
      <c r="AE19" s="99">
        <f t="shared" si="1"/>
        <v>27.920242923541554</v>
      </c>
      <c r="AF19" s="99">
        <f t="shared" si="1"/>
        <v>27.912008729501366</v>
      </c>
      <c r="AG19" s="99">
        <f t="shared" si="1"/>
        <v>27.903330780994768</v>
      </c>
      <c r="AH19" s="99">
        <f t="shared" si="1"/>
        <v>27.894183371226525</v>
      </c>
      <c r="AI19" s="99">
        <f t="shared" si="1"/>
        <v>27.88454218176993</v>
      </c>
      <c r="AJ19" s="99">
        <f t="shared" si="1"/>
        <v>27.874381158737609</v>
      </c>
      <c r="AK19" s="99">
        <f t="shared" si="1"/>
        <v>27.86366991937361</v>
      </c>
      <c r="AL19" s="99">
        <f t="shared" si="1"/>
        <v>27.85238073543961</v>
      </c>
      <c r="AM19" s="99">
        <f t="shared" si="1"/>
        <v>27.840482182903251</v>
      </c>
      <c r="AN19" s="99">
        <f t="shared" si="1"/>
        <v>27.827939775012716</v>
      </c>
      <c r="AO19" s="99">
        <f t="shared" si="1"/>
        <v>27.814721393551366</v>
      </c>
      <c r="AP19" s="99">
        <f t="shared" si="1"/>
        <v>27.800788222898788</v>
      </c>
      <c r="AQ19" s="99">
        <f t="shared" si="1"/>
        <v>27.786102999566097</v>
      </c>
      <c r="AR19" s="99">
        <f t="shared" si="1"/>
        <v>27.77062523358191</v>
      </c>
      <c r="AS19" s="99">
        <f t="shared" si="1"/>
        <v>27.754310964053534</v>
      </c>
      <c r="AT19" s="99">
        <f t="shared" si="1"/>
        <v>27.737114269754898</v>
      </c>
      <c r="AU19" s="99">
        <f t="shared" si="1"/>
        <v>27.718989454332657</v>
      </c>
      <c r="AV19" s="99">
        <f t="shared" si="1"/>
        <v>27.699887186749123</v>
      </c>
      <c r="AW19" s="99">
        <f t="shared" si="1"/>
        <v>27.67975207163737</v>
      </c>
      <c r="AX19" s="99">
        <f t="shared" si="1"/>
        <v>27.658528999612884</v>
      </c>
      <c r="AY19" s="99">
        <f t="shared" ref="AY19" si="2">AY17+AY18</f>
        <v>13.820922605895184</v>
      </c>
      <c r="AZ19" s="96"/>
      <c r="BA19" s="96"/>
      <c r="BB19" s="96"/>
      <c r="BC19" s="96"/>
      <c r="BD19" s="96"/>
      <c r="BE19" s="96"/>
      <c r="BF19" s="96"/>
      <c r="BG19" s="96"/>
      <c r="BH19" s="96"/>
      <c r="BI19" s="96"/>
    </row>
    <row r="20" spans="1:61" s="92" customFormat="1" hidden="1" outlineLevel="1" x14ac:dyDescent="0.25">
      <c r="A20" s="16" t="s">
        <v>16</v>
      </c>
      <c r="B20" s="101"/>
      <c r="C20" s="96"/>
      <c r="D20" s="96"/>
      <c r="E20" s="96"/>
      <c r="F20" s="96"/>
      <c r="G20" s="96"/>
      <c r="H20" s="97"/>
      <c r="I20" s="97"/>
      <c r="J20" s="97"/>
      <c r="K20" s="97"/>
      <c r="L20" s="97"/>
      <c r="M20" s="98"/>
      <c r="N20" s="98"/>
      <c r="O20" s="98"/>
      <c r="P20" s="98"/>
      <c r="Q20" s="98"/>
      <c r="R20" s="96"/>
      <c r="S20" s="96"/>
      <c r="T20" s="96"/>
      <c r="U20" s="96"/>
      <c r="V20" s="96"/>
      <c r="W20" s="96"/>
      <c r="X20" s="99"/>
      <c r="Y20" s="99"/>
      <c r="Z20" s="99">
        <f>Z16-Z17</f>
        <v>381.52818411922732</v>
      </c>
      <c r="AA20" s="99">
        <f t="shared" ref="AA20:AY20" si="3">Z20-AA17</f>
        <v>373.68784960341321</v>
      </c>
      <c r="AB20" s="99">
        <f t="shared" si="3"/>
        <v>365.42405547880708</v>
      </c>
      <c r="AC20" s="99">
        <f t="shared" si="3"/>
        <v>356.71393298633257</v>
      </c>
      <c r="AD20" s="99">
        <f t="shared" si="3"/>
        <v>347.53337510946199</v>
      </c>
      <c r="AE20" s="99">
        <f t="shared" si="3"/>
        <v>337.85697256265587</v>
      </c>
      <c r="AF20" s="99">
        <f t="shared" si="3"/>
        <v>327.65794690041213</v>
      </c>
      <c r="AG20" s="99">
        <f t="shared" si="3"/>
        <v>316.90806808784492</v>
      </c>
      <c r="AH20" s="99">
        <f t="shared" si="3"/>
        <v>305.57758616025575</v>
      </c>
      <c r="AI20" s="99">
        <f t="shared" si="3"/>
        <v>293.63514238229089</v>
      </c>
      <c r="AJ20" s="99">
        <f t="shared" si="3"/>
        <v>281.04768375580102</v>
      </c>
      <c r="AK20" s="99">
        <f t="shared" si="3"/>
        <v>267.78037538403822</v>
      </c>
      <c r="AL20" s="99">
        <f t="shared" si="3"/>
        <v>253.79649586747092</v>
      </c>
      <c r="AM20" s="99">
        <f t="shared" si="3"/>
        <v>239.05734284835751</v>
      </c>
      <c r="AN20" s="99">
        <f t="shared" si="3"/>
        <v>223.52212626289875</v>
      </c>
      <c r="AO20" s="99">
        <f t="shared" si="3"/>
        <v>207.14784842345517</v>
      </c>
      <c r="AP20" s="99">
        <f t="shared" si="3"/>
        <v>189.88919235029982</v>
      </c>
      <c r="AQ20" s="99">
        <f t="shared" si="3"/>
        <v>171.69839180772993</v>
      </c>
      <c r="AR20" s="99">
        <f t="shared" si="3"/>
        <v>152.52510305607325</v>
      </c>
      <c r="AS20" s="99">
        <f t="shared" si="3"/>
        <v>132.31626032949623</v>
      </c>
      <c r="AT20" s="99">
        <f t="shared" si="3"/>
        <v>111.01593378500083</v>
      </c>
      <c r="AU20" s="99">
        <f t="shared" si="3"/>
        <v>88.565171749188224</v>
      </c>
      <c r="AV20" s="99">
        <f t="shared" si="3"/>
        <v>64.901837758640497</v>
      </c>
      <c r="AW20" s="99">
        <f t="shared" si="3"/>
        <v>39.960443210324023</v>
      </c>
      <c r="AX20" s="99">
        <f t="shared" si="3"/>
        <v>13.671959225597174</v>
      </c>
      <c r="AY20" s="99">
        <f t="shared" si="3"/>
        <v>-1.0480505352461478E-13</v>
      </c>
      <c r="AZ20" s="96"/>
      <c r="BA20" s="96"/>
      <c r="BB20" s="96"/>
      <c r="BC20" s="96"/>
      <c r="BD20" s="96"/>
      <c r="BE20" s="96"/>
      <c r="BF20" s="96"/>
      <c r="BG20" s="96"/>
      <c r="BH20" s="96"/>
      <c r="BI20" s="96"/>
    </row>
    <row r="21" spans="1:61" s="92" customFormat="1" hidden="1" outlineLevel="1" x14ac:dyDescent="0.25">
      <c r="A21" s="100"/>
      <c r="B21" s="101"/>
      <c r="C21" s="96"/>
      <c r="D21" s="96"/>
      <c r="E21" s="96"/>
      <c r="F21" s="96"/>
      <c r="G21" s="96"/>
      <c r="H21" s="97"/>
      <c r="I21" s="97"/>
      <c r="J21" s="97"/>
      <c r="K21" s="97"/>
      <c r="L21" s="97"/>
      <c r="M21" s="98"/>
      <c r="N21" s="98"/>
      <c r="O21" s="98"/>
      <c r="P21" s="98"/>
      <c r="Q21" s="98"/>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row>
    <row r="22" spans="1:61" collapsed="1" x14ac:dyDescent="0.25">
      <c r="A22" s="21" t="s">
        <v>221</v>
      </c>
      <c r="B22" s="101">
        <f>SUM(C22:BB22)</f>
        <v>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row>
    <row r="23" spans="1:61" x14ac:dyDescent="0.25">
      <c r="A23" s="20" t="s">
        <v>222</v>
      </c>
      <c r="B23" s="101">
        <f>SUM(C23:BB23)</f>
        <v>14567.222800000001</v>
      </c>
      <c r="C23" s="102">
        <f t="shared" ref="C23:AC23" si="4">C4</f>
        <v>0</v>
      </c>
      <c r="D23" s="102">
        <f t="shared" si="4"/>
        <v>0</v>
      </c>
      <c r="E23" s="102">
        <f t="shared" si="4"/>
        <v>0</v>
      </c>
      <c r="F23" s="102">
        <f t="shared" si="4"/>
        <v>0</v>
      </c>
      <c r="G23" s="102">
        <f t="shared" si="4"/>
        <v>0</v>
      </c>
      <c r="H23" s="102">
        <f t="shared" si="4"/>
        <v>0</v>
      </c>
      <c r="I23" s="102">
        <f t="shared" si="4"/>
        <v>0</v>
      </c>
      <c r="J23" s="102">
        <f t="shared" si="4"/>
        <v>0</v>
      </c>
      <c r="K23" s="102">
        <f t="shared" si="4"/>
        <v>0</v>
      </c>
      <c r="L23" s="102">
        <f t="shared" si="4"/>
        <v>0</v>
      </c>
      <c r="M23" s="102">
        <f t="shared" si="4"/>
        <v>0</v>
      </c>
      <c r="N23" s="102">
        <f t="shared" si="4"/>
        <v>0</v>
      </c>
      <c r="O23" s="102">
        <f t="shared" si="4"/>
        <v>0</v>
      </c>
      <c r="P23" s="102">
        <f t="shared" si="4"/>
        <v>0</v>
      </c>
      <c r="Q23" s="102">
        <f t="shared" si="4"/>
        <v>0</v>
      </c>
      <c r="R23" s="102">
        <f t="shared" si="4"/>
        <v>0</v>
      </c>
      <c r="S23" s="102">
        <f t="shared" si="4"/>
        <v>0</v>
      </c>
      <c r="T23" s="102">
        <f t="shared" si="4"/>
        <v>762</v>
      </c>
      <c r="U23" s="102">
        <f t="shared" si="4"/>
        <v>3892</v>
      </c>
      <c r="V23" s="102">
        <f t="shared" si="4"/>
        <v>315.47541999999999</v>
      </c>
      <c r="W23" s="102">
        <f t="shared" si="4"/>
        <v>346.99299999999999</v>
      </c>
      <c r="X23" s="102">
        <f t="shared" si="4"/>
        <v>5886.4580000000014</v>
      </c>
      <c r="Y23" s="102">
        <f t="shared" si="4"/>
        <v>2979</v>
      </c>
      <c r="Z23" s="102">
        <f t="shared" si="4"/>
        <v>385.29638</v>
      </c>
      <c r="AA23" s="102">
        <f t="shared" si="4"/>
        <v>0</v>
      </c>
      <c r="AB23" s="102">
        <f t="shared" si="4"/>
        <v>0</v>
      </c>
      <c r="AC23" s="102">
        <f t="shared" si="4"/>
        <v>0</v>
      </c>
      <c r="AD23" s="102">
        <f t="shared" ref="AD23:BD23" si="5">+AD4</f>
        <v>0</v>
      </c>
      <c r="AE23" s="102">
        <f t="shared" si="5"/>
        <v>0</v>
      </c>
      <c r="AF23" s="102">
        <f t="shared" si="5"/>
        <v>0</v>
      </c>
      <c r="AG23" s="102">
        <f t="shared" si="5"/>
        <v>0</v>
      </c>
      <c r="AH23" s="102">
        <f t="shared" si="5"/>
        <v>0</v>
      </c>
      <c r="AI23" s="102">
        <f t="shared" si="5"/>
        <v>0</v>
      </c>
      <c r="AJ23" s="102">
        <f t="shared" si="5"/>
        <v>0</v>
      </c>
      <c r="AK23" s="102">
        <f t="shared" si="5"/>
        <v>0</v>
      </c>
      <c r="AL23" s="102">
        <f t="shared" si="5"/>
        <v>0</v>
      </c>
      <c r="AM23" s="102">
        <f t="shared" si="5"/>
        <v>0</v>
      </c>
      <c r="AN23" s="102">
        <f t="shared" si="5"/>
        <v>0</v>
      </c>
      <c r="AO23" s="102">
        <f t="shared" si="5"/>
        <v>0</v>
      </c>
      <c r="AP23" s="102">
        <f t="shared" si="5"/>
        <v>0</v>
      </c>
      <c r="AQ23" s="102">
        <f t="shared" si="5"/>
        <v>0</v>
      </c>
      <c r="AR23" s="102">
        <f t="shared" si="5"/>
        <v>0</v>
      </c>
      <c r="AS23" s="102">
        <f t="shared" si="5"/>
        <v>0</v>
      </c>
      <c r="AT23" s="102">
        <f t="shared" si="5"/>
        <v>0</v>
      </c>
      <c r="AU23" s="102">
        <f t="shared" si="5"/>
        <v>0</v>
      </c>
      <c r="AV23" s="102">
        <f t="shared" si="5"/>
        <v>0</v>
      </c>
      <c r="AW23" s="102">
        <f t="shared" si="5"/>
        <v>0</v>
      </c>
      <c r="AX23" s="102">
        <f t="shared" si="5"/>
        <v>0</v>
      </c>
      <c r="AY23" s="102">
        <f t="shared" si="5"/>
        <v>0</v>
      </c>
      <c r="AZ23" s="102">
        <f t="shared" si="5"/>
        <v>0</v>
      </c>
      <c r="BA23" s="102">
        <f t="shared" si="5"/>
        <v>0</v>
      </c>
      <c r="BB23" s="102">
        <f t="shared" si="5"/>
        <v>0</v>
      </c>
      <c r="BC23" s="102">
        <f t="shared" si="5"/>
        <v>0</v>
      </c>
      <c r="BD23" s="102">
        <f t="shared" si="5"/>
        <v>0</v>
      </c>
      <c r="BE23" s="102"/>
      <c r="BF23" s="102"/>
      <c r="BG23" s="102"/>
      <c r="BH23" s="102"/>
      <c r="BI23" s="102"/>
    </row>
    <row r="24" spans="1:61" s="17" customFormat="1" x14ac:dyDescent="0.25">
      <c r="A24" s="16" t="s">
        <v>223</v>
      </c>
      <c r="B24" s="101">
        <f>SUM(C24:BB24)</f>
        <v>14567.507149999999</v>
      </c>
      <c r="C24" s="102">
        <f t="shared" ref="C24:BD25" si="6">+C17+C13</f>
        <v>0</v>
      </c>
      <c r="D24" s="102">
        <f t="shared" si="6"/>
        <v>0</v>
      </c>
      <c r="E24" s="102">
        <f t="shared" si="6"/>
        <v>0</v>
      </c>
      <c r="F24" s="102">
        <f t="shared" si="6"/>
        <v>0</v>
      </c>
      <c r="G24" s="102">
        <f t="shared" si="6"/>
        <v>0</v>
      </c>
      <c r="H24" s="102">
        <f t="shared" si="6"/>
        <v>0</v>
      </c>
      <c r="I24" s="102">
        <f>+I17+I13</f>
        <v>0</v>
      </c>
      <c r="J24" s="102">
        <f t="shared" si="6"/>
        <v>0</v>
      </c>
      <c r="K24" s="102">
        <f t="shared" si="6"/>
        <v>0</v>
      </c>
      <c r="L24" s="102">
        <f t="shared" si="6"/>
        <v>0</v>
      </c>
      <c r="M24" s="102">
        <f t="shared" si="6"/>
        <v>0</v>
      </c>
      <c r="N24" s="102">
        <f t="shared" si="6"/>
        <v>0</v>
      </c>
      <c r="O24" s="102">
        <f t="shared" si="6"/>
        <v>0</v>
      </c>
      <c r="P24" s="102">
        <f t="shared" si="6"/>
        <v>0</v>
      </c>
      <c r="Q24" s="102">
        <f t="shared" si="6"/>
        <v>0</v>
      </c>
      <c r="R24" s="102">
        <f t="shared" si="6"/>
        <v>0</v>
      </c>
      <c r="S24" s="102">
        <f t="shared" si="6"/>
        <v>0</v>
      </c>
      <c r="T24" s="102">
        <f t="shared" si="6"/>
        <v>0</v>
      </c>
      <c r="U24" s="102">
        <f t="shared" si="6"/>
        <v>71.251289999999997</v>
      </c>
      <c r="V24" s="102">
        <f t="shared" si="6"/>
        <v>126.8241140940396</v>
      </c>
      <c r="W24" s="102">
        <f t="shared" si="6"/>
        <v>138.55175013054043</v>
      </c>
      <c r="X24" s="102">
        <f t="shared" si="6"/>
        <v>204.10592354010558</v>
      </c>
      <c r="Y24" s="102">
        <f t="shared" si="6"/>
        <v>325.77821390051406</v>
      </c>
      <c r="Z24" s="102">
        <f t="shared" si="6"/>
        <v>401.24464250848769</v>
      </c>
      <c r="AA24" s="102">
        <f t="shared" si="6"/>
        <v>418.45026189097825</v>
      </c>
      <c r="AB24" s="102">
        <f t="shared" si="6"/>
        <v>432.46631926496349</v>
      </c>
      <c r="AC24" s="102">
        <f t="shared" si="6"/>
        <v>446.98138582059988</v>
      </c>
      <c r="AD24" s="102">
        <f t="shared" si="6"/>
        <v>462.01447951392231</v>
      </c>
      <c r="AE24" s="102">
        <f t="shared" si="6"/>
        <v>477.58536973305667</v>
      </c>
      <c r="AF24" s="102">
        <f t="shared" si="6"/>
        <v>493.71457515980524</v>
      </c>
      <c r="AG24" s="102">
        <f t="shared" si="6"/>
        <v>510.4235227893659</v>
      </c>
      <c r="AH24" s="102">
        <f t="shared" si="6"/>
        <v>527.73445681412909</v>
      </c>
      <c r="AI24" s="102">
        <f t="shared" si="6"/>
        <v>545.67056323941415</v>
      </c>
      <c r="AJ24" s="102">
        <f t="shared" si="6"/>
        <v>564.25596486425979</v>
      </c>
      <c r="AK24" s="102">
        <f t="shared" si="6"/>
        <v>583.5158397176026</v>
      </c>
      <c r="AL24" s="102">
        <f t="shared" si="6"/>
        <v>603.47628843042003</v>
      </c>
      <c r="AM24" s="102">
        <f t="shared" si="6"/>
        <v>624.16456264129022</v>
      </c>
      <c r="AN24" s="102">
        <f t="shared" si="6"/>
        <v>645.6090938890037</v>
      </c>
      <c r="AO24" s="102">
        <f t="shared" si="6"/>
        <v>667.8393509884902</v>
      </c>
      <c r="AP24" s="102">
        <f t="shared" si="6"/>
        <v>690.88618053357686</v>
      </c>
      <c r="AQ24" s="102">
        <f t="shared" si="6"/>
        <v>714.78162395245636</v>
      </c>
      <c r="AR24" s="102">
        <f t="shared" si="6"/>
        <v>739.55911619167671</v>
      </c>
      <c r="AS24" s="102">
        <f t="shared" si="6"/>
        <v>765.25299232002726</v>
      </c>
      <c r="AT24" s="102">
        <f t="shared" si="6"/>
        <v>632.58531644563641</v>
      </c>
      <c r="AU24" s="102">
        <f t="shared" si="6"/>
        <v>534.37397424899621</v>
      </c>
      <c r="AV24" s="102">
        <f t="shared" si="6"/>
        <v>538.66226723909494</v>
      </c>
      <c r="AW24" s="102">
        <f t="shared" si="6"/>
        <v>440.96988622503295</v>
      </c>
      <c r="AX24" s="102">
        <f t="shared" si="6"/>
        <v>225.1058646869148</v>
      </c>
      <c r="AY24" s="102">
        <f t="shared" si="6"/>
        <v>13.671959225597279</v>
      </c>
      <c r="AZ24" s="102">
        <f t="shared" si="6"/>
        <v>0</v>
      </c>
      <c r="BA24" s="102">
        <f t="shared" si="6"/>
        <v>0</v>
      </c>
      <c r="BB24" s="102">
        <f t="shared" si="6"/>
        <v>0</v>
      </c>
      <c r="BC24" s="102">
        <f t="shared" si="6"/>
        <v>0</v>
      </c>
      <c r="BD24" s="102">
        <f t="shared" si="6"/>
        <v>0</v>
      </c>
      <c r="BE24" s="102"/>
      <c r="BF24" s="102"/>
      <c r="BG24" s="102"/>
      <c r="BH24" s="102"/>
      <c r="BI24" s="102"/>
    </row>
    <row r="25" spans="1:61" s="17" customFormat="1" x14ac:dyDescent="0.25">
      <c r="A25" s="16" t="s">
        <v>224</v>
      </c>
      <c r="B25" s="101">
        <f>SUM(C25:BB25)</f>
        <v>7303.9627013364943</v>
      </c>
      <c r="C25" s="102">
        <f t="shared" si="6"/>
        <v>0</v>
      </c>
      <c r="D25" s="102">
        <f t="shared" si="6"/>
        <v>0</v>
      </c>
      <c r="E25" s="102">
        <f t="shared" si="6"/>
        <v>0</v>
      </c>
      <c r="F25" s="102">
        <f t="shared" si="6"/>
        <v>0</v>
      </c>
      <c r="G25" s="102">
        <f t="shared" si="6"/>
        <v>0</v>
      </c>
      <c r="H25" s="102">
        <f t="shared" si="6"/>
        <v>0</v>
      </c>
      <c r="I25" s="102">
        <f t="shared" si="6"/>
        <v>0</v>
      </c>
      <c r="J25" s="102">
        <f t="shared" si="6"/>
        <v>0</v>
      </c>
      <c r="K25" s="102">
        <f t="shared" si="6"/>
        <v>0</v>
      </c>
      <c r="L25" s="102">
        <f t="shared" si="6"/>
        <v>0</v>
      </c>
      <c r="M25" s="102">
        <f t="shared" si="6"/>
        <v>0</v>
      </c>
      <c r="N25" s="102">
        <f t="shared" si="6"/>
        <v>0</v>
      </c>
      <c r="O25" s="102">
        <f t="shared" si="6"/>
        <v>0</v>
      </c>
      <c r="P25" s="102">
        <f t="shared" si="6"/>
        <v>0</v>
      </c>
      <c r="Q25" s="102">
        <f t="shared" si="6"/>
        <v>0</v>
      </c>
      <c r="R25" s="102">
        <f t="shared" si="6"/>
        <v>0</v>
      </c>
      <c r="S25" s="102">
        <f t="shared" si="6"/>
        <v>0</v>
      </c>
      <c r="T25" s="102">
        <f t="shared" si="6"/>
        <v>3.4950299999999999</v>
      </c>
      <c r="U25" s="102">
        <f t="shared" si="6"/>
        <v>125.14485000000001</v>
      </c>
      <c r="V25" s="102">
        <f t="shared" si="6"/>
        <v>151.16886885356666</v>
      </c>
      <c r="W25" s="102">
        <f t="shared" si="6"/>
        <v>154.57605686216743</v>
      </c>
      <c r="X25" s="102">
        <f t="shared" si="6"/>
        <v>226.37810146737553</v>
      </c>
      <c r="Y25" s="102">
        <f t="shared" si="6"/>
        <v>332.65780311270368</v>
      </c>
      <c r="Z25" s="102">
        <f t="shared" si="6"/>
        <v>463.15830823600322</v>
      </c>
      <c r="AA25" s="102">
        <f t="shared" si="6"/>
        <v>453.7717929802194</v>
      </c>
      <c r="AB25" s="102">
        <f t="shared" si="6"/>
        <v>439.66316079859661</v>
      </c>
      <c r="AC25" s="102">
        <f t="shared" si="6"/>
        <v>425.05202130674564</v>
      </c>
      <c r="AD25" s="102">
        <f t="shared" si="6"/>
        <v>409.91924951407725</v>
      </c>
      <c r="AE25" s="102">
        <f t="shared" si="6"/>
        <v>394.24494200939495</v>
      </c>
      <c r="AF25" s="102">
        <f t="shared" si="6"/>
        <v>378.00843144423425</v>
      </c>
      <c r="AG25" s="102">
        <f t="shared" si="6"/>
        <v>361.18811486137747</v>
      </c>
      <c r="AH25" s="102">
        <f t="shared" si="6"/>
        <v>343.76158979603633</v>
      </c>
      <c r="AI25" s="102">
        <f t="shared" si="6"/>
        <v>325.70554518470436</v>
      </c>
      <c r="AJ25" s="102">
        <f t="shared" si="6"/>
        <v>306.99561119420872</v>
      </c>
      <c r="AK25" s="102">
        <f t="shared" si="6"/>
        <v>287.60645911818239</v>
      </c>
      <c r="AL25" s="102">
        <f t="shared" si="6"/>
        <v>267.51178558856282</v>
      </c>
      <c r="AM25" s="102">
        <f t="shared" si="6"/>
        <v>246.68413310736622</v>
      </c>
      <c r="AN25" s="102">
        <f t="shared" si="6"/>
        <v>225.09491556209639</v>
      </c>
      <c r="AO25" s="102">
        <f t="shared" si="6"/>
        <v>202.71436351699685</v>
      </c>
      <c r="AP25" s="102">
        <f t="shared" si="6"/>
        <v>179.5114390953471</v>
      </c>
      <c r="AQ25" s="102">
        <f t="shared" si="6"/>
        <v>155.45387196745574</v>
      </c>
      <c r="AR25" s="102">
        <f t="shared" si="6"/>
        <v>130.50797504477572</v>
      </c>
      <c r="AS25" s="102">
        <f t="shared" si="6"/>
        <v>104.63864142434547</v>
      </c>
      <c r="AT25" s="102">
        <f t="shared" si="6"/>
        <v>79.47855033049845</v>
      </c>
      <c r="AU25" s="102">
        <f t="shared" si="6"/>
        <v>59.984696749029119</v>
      </c>
      <c r="AV25" s="102">
        <f t="shared" si="6"/>
        <v>40.781022781918011</v>
      </c>
      <c r="AW25" s="102">
        <f t="shared" si="6"/>
        <v>21.556068959074324</v>
      </c>
      <c r="AX25" s="102">
        <f t="shared" si="6"/>
        <v>7.4003370891367695</v>
      </c>
      <c r="AY25" s="102">
        <f t="shared" si="6"/>
        <v>0.14896338029790537</v>
      </c>
      <c r="AZ25" s="102">
        <f t="shared" si="6"/>
        <v>0</v>
      </c>
      <c r="BA25" s="102">
        <f t="shared" si="6"/>
        <v>0</v>
      </c>
      <c r="BB25" s="102">
        <f t="shared" si="6"/>
        <v>0</v>
      </c>
      <c r="BC25" s="102">
        <f t="shared" si="6"/>
        <v>0</v>
      </c>
      <c r="BD25" s="102">
        <f t="shared" si="6"/>
        <v>0</v>
      </c>
      <c r="BE25" s="102"/>
      <c r="BF25" s="102"/>
      <c r="BG25" s="102"/>
      <c r="BH25" s="102"/>
      <c r="BI25" s="102"/>
    </row>
    <row r="26" spans="1:61" s="17" customFormat="1" x14ac:dyDescent="0.25">
      <c r="A26" s="16" t="s">
        <v>225</v>
      </c>
      <c r="B26" s="101">
        <f>SUM(C26:BB26)</f>
        <v>21871.469851336486</v>
      </c>
      <c r="C26" s="102">
        <f>C24+C25</f>
        <v>0</v>
      </c>
      <c r="D26" s="102">
        <f t="shared" ref="D26:U26" si="7">D24+D25</f>
        <v>0</v>
      </c>
      <c r="E26" s="102">
        <f t="shared" si="7"/>
        <v>0</v>
      </c>
      <c r="F26" s="102">
        <f t="shared" si="7"/>
        <v>0</v>
      </c>
      <c r="G26" s="102">
        <f t="shared" si="7"/>
        <v>0</v>
      </c>
      <c r="H26" s="102">
        <f t="shared" si="7"/>
        <v>0</v>
      </c>
      <c r="I26" s="102">
        <f t="shared" si="7"/>
        <v>0</v>
      </c>
      <c r="J26" s="102">
        <f t="shared" si="7"/>
        <v>0</v>
      </c>
      <c r="K26" s="102">
        <f t="shared" si="7"/>
        <v>0</v>
      </c>
      <c r="L26" s="102">
        <f t="shared" si="7"/>
        <v>0</v>
      </c>
      <c r="M26" s="102">
        <f t="shared" si="7"/>
        <v>0</v>
      </c>
      <c r="N26" s="102">
        <f t="shared" si="7"/>
        <v>0</v>
      </c>
      <c r="O26" s="102">
        <f t="shared" si="7"/>
        <v>0</v>
      </c>
      <c r="P26" s="102">
        <f t="shared" si="7"/>
        <v>0</v>
      </c>
      <c r="Q26" s="102">
        <f t="shared" si="7"/>
        <v>0</v>
      </c>
      <c r="R26" s="102">
        <f t="shared" si="7"/>
        <v>0</v>
      </c>
      <c r="S26" s="102">
        <f t="shared" si="7"/>
        <v>0</v>
      </c>
      <c r="T26" s="102">
        <f t="shared" si="7"/>
        <v>3.4950299999999999</v>
      </c>
      <c r="U26" s="102">
        <f t="shared" si="7"/>
        <v>196.39614</v>
      </c>
      <c r="V26" s="102">
        <f>V24+V25</f>
        <v>277.99298294760627</v>
      </c>
      <c r="W26" s="102">
        <f>W24+W25</f>
        <v>293.12780699270786</v>
      </c>
      <c r="X26" s="102">
        <f t="shared" ref="X26:AT26" si="8">X24+X25</f>
        <v>430.48402500748114</v>
      </c>
      <c r="Y26" s="102">
        <f t="shared" si="8"/>
        <v>658.43601701321768</v>
      </c>
      <c r="Z26" s="102">
        <f t="shared" si="8"/>
        <v>864.40295074449091</v>
      </c>
      <c r="AA26" s="102">
        <f t="shared" si="8"/>
        <v>872.22205487119766</v>
      </c>
      <c r="AB26" s="102">
        <f t="shared" si="8"/>
        <v>872.1294800635601</v>
      </c>
      <c r="AC26" s="102">
        <f t="shared" si="8"/>
        <v>872.03340712734553</v>
      </c>
      <c r="AD26" s="102">
        <f t="shared" si="8"/>
        <v>871.93372902799956</v>
      </c>
      <c r="AE26" s="102">
        <f t="shared" si="8"/>
        <v>871.83031174245161</v>
      </c>
      <c r="AF26" s="102">
        <f t="shared" si="8"/>
        <v>871.72300660403948</v>
      </c>
      <c r="AG26" s="102">
        <f t="shared" si="8"/>
        <v>871.61163765074343</v>
      </c>
      <c r="AH26" s="102">
        <f t="shared" si="8"/>
        <v>871.49604661016542</v>
      </c>
      <c r="AI26" s="102">
        <f t="shared" si="8"/>
        <v>871.37610842411846</v>
      </c>
      <c r="AJ26" s="102">
        <f t="shared" si="8"/>
        <v>871.25157605846857</v>
      </c>
      <c r="AK26" s="102">
        <f t="shared" si="8"/>
        <v>871.12229883578493</v>
      </c>
      <c r="AL26" s="102">
        <f t="shared" si="8"/>
        <v>870.98807401898284</v>
      </c>
      <c r="AM26" s="102">
        <f t="shared" si="8"/>
        <v>870.84869574865638</v>
      </c>
      <c r="AN26" s="102">
        <f t="shared" si="8"/>
        <v>870.70400945110009</v>
      </c>
      <c r="AO26" s="102">
        <f t="shared" si="8"/>
        <v>870.55371450548705</v>
      </c>
      <c r="AP26" s="102">
        <f t="shared" si="8"/>
        <v>870.39761962892396</v>
      </c>
      <c r="AQ26" s="102">
        <f t="shared" si="8"/>
        <v>870.23549591991207</v>
      </c>
      <c r="AR26" s="102">
        <f t="shared" si="8"/>
        <v>870.06709123645237</v>
      </c>
      <c r="AS26" s="102">
        <f t="shared" si="8"/>
        <v>869.89163374437271</v>
      </c>
      <c r="AT26" s="102">
        <f t="shared" si="8"/>
        <v>712.06386677613489</v>
      </c>
      <c r="AU26" s="102">
        <f>AU24+AU25</f>
        <v>594.35867099802533</v>
      </c>
      <c r="AV26" s="102">
        <f>AV24+AV25</f>
        <v>579.4432900210129</v>
      </c>
      <c r="AW26" s="102">
        <f>AW24+AW25</f>
        <v>462.52595518410726</v>
      </c>
      <c r="AX26" s="102">
        <f t="shared" ref="AX26:BD26" si="9">AX24+AX25</f>
        <v>232.50620177605157</v>
      </c>
      <c r="AY26" s="102">
        <f t="shared" si="9"/>
        <v>13.820922605895184</v>
      </c>
      <c r="AZ26" s="102">
        <f t="shared" si="9"/>
        <v>0</v>
      </c>
      <c r="BA26" s="102">
        <f t="shared" si="9"/>
        <v>0</v>
      </c>
      <c r="BB26" s="102">
        <f t="shared" si="9"/>
        <v>0</v>
      </c>
      <c r="BC26" s="102">
        <f t="shared" si="9"/>
        <v>0</v>
      </c>
      <c r="BD26" s="102">
        <f t="shared" si="9"/>
        <v>0</v>
      </c>
      <c r="BE26" s="102"/>
      <c r="BF26" s="102"/>
      <c r="BG26" s="102"/>
      <c r="BH26" s="102"/>
      <c r="BI26" s="102"/>
    </row>
    <row r="27" spans="1:61" s="17" customFormat="1" x14ac:dyDescent="0.25">
      <c r="A27" s="16" t="s">
        <v>16</v>
      </c>
      <c r="B27" s="101"/>
      <c r="C27" s="102">
        <f>C23-C24</f>
        <v>0</v>
      </c>
      <c r="D27" s="102">
        <f>C27+D23-D24</f>
        <v>0</v>
      </c>
      <c r="E27" s="102">
        <f>D27+E23-E24</f>
        <v>0</v>
      </c>
      <c r="F27" s="102">
        <f t="shared" ref="F27:BD27" si="10">E27+F23-F24</f>
        <v>0</v>
      </c>
      <c r="G27" s="102">
        <f t="shared" si="10"/>
        <v>0</v>
      </c>
      <c r="H27" s="102">
        <f t="shared" si="10"/>
        <v>0</v>
      </c>
      <c r="I27" s="102">
        <f t="shared" si="10"/>
        <v>0</v>
      </c>
      <c r="J27" s="102">
        <f t="shared" si="10"/>
        <v>0</v>
      </c>
      <c r="K27" s="102">
        <f t="shared" si="10"/>
        <v>0</v>
      </c>
      <c r="L27" s="102">
        <f t="shared" si="10"/>
        <v>0</v>
      </c>
      <c r="M27" s="102">
        <f t="shared" si="10"/>
        <v>0</v>
      </c>
      <c r="N27" s="102">
        <f t="shared" si="10"/>
        <v>0</v>
      </c>
      <c r="O27" s="102">
        <f t="shared" si="10"/>
        <v>0</v>
      </c>
      <c r="P27" s="102">
        <f t="shared" si="10"/>
        <v>0</v>
      </c>
      <c r="Q27" s="102">
        <f t="shared" si="10"/>
        <v>0</v>
      </c>
      <c r="R27" s="102">
        <f t="shared" si="10"/>
        <v>0</v>
      </c>
      <c r="S27" s="102">
        <f t="shared" si="10"/>
        <v>0</v>
      </c>
      <c r="T27" s="102">
        <f t="shared" si="10"/>
        <v>762</v>
      </c>
      <c r="U27" s="102">
        <f t="shared" si="10"/>
        <v>4582.7487099999998</v>
      </c>
      <c r="V27" s="102">
        <f t="shared" si="10"/>
        <v>4771.4000159059597</v>
      </c>
      <c r="W27" s="102">
        <f t="shared" si="10"/>
        <v>4979.8412657754197</v>
      </c>
      <c r="X27" s="102">
        <f t="shared" si="10"/>
        <v>10662.193342235316</v>
      </c>
      <c r="Y27" s="102">
        <f t="shared" si="10"/>
        <v>13315.415128334802</v>
      </c>
      <c r="Z27" s="102">
        <f t="shared" si="10"/>
        <v>13299.466865826314</v>
      </c>
      <c r="AA27" s="102">
        <f t="shared" si="10"/>
        <v>12881.016603935335</v>
      </c>
      <c r="AB27" s="102">
        <f t="shared" si="10"/>
        <v>12448.550284670371</v>
      </c>
      <c r="AC27" s="102">
        <f t="shared" si="10"/>
        <v>12001.568898849771</v>
      </c>
      <c r="AD27" s="102">
        <f t="shared" si="10"/>
        <v>11539.554419335849</v>
      </c>
      <c r="AE27" s="102">
        <f t="shared" si="10"/>
        <v>11061.969049602792</v>
      </c>
      <c r="AF27" s="102">
        <f t="shared" si="10"/>
        <v>10568.254474442987</v>
      </c>
      <c r="AG27" s="102">
        <f t="shared" si="10"/>
        <v>10057.830951653621</v>
      </c>
      <c r="AH27" s="102">
        <f t="shared" si="10"/>
        <v>9530.0964948394922</v>
      </c>
      <c r="AI27" s="102">
        <f t="shared" si="10"/>
        <v>8984.4259316000789</v>
      </c>
      <c r="AJ27" s="102">
        <f t="shared" si="10"/>
        <v>8420.1699667358189</v>
      </c>
      <c r="AK27" s="102">
        <f t="shared" si="10"/>
        <v>7836.6541270182161</v>
      </c>
      <c r="AL27" s="102">
        <f t="shared" si="10"/>
        <v>7233.177838587796</v>
      </c>
      <c r="AM27" s="102">
        <f t="shared" si="10"/>
        <v>6609.0132759465059</v>
      </c>
      <c r="AN27" s="102">
        <f t="shared" si="10"/>
        <v>5963.4041820575021</v>
      </c>
      <c r="AO27" s="102">
        <f t="shared" si="10"/>
        <v>5295.5648310690121</v>
      </c>
      <c r="AP27" s="102">
        <f t="shared" si="10"/>
        <v>4604.6786505354357</v>
      </c>
      <c r="AQ27" s="102">
        <f t="shared" si="10"/>
        <v>3889.8970265829794</v>
      </c>
      <c r="AR27" s="102">
        <f t="shared" si="10"/>
        <v>3150.3379103913026</v>
      </c>
      <c r="AS27" s="102">
        <f t="shared" si="10"/>
        <v>2385.0849180712753</v>
      </c>
      <c r="AT27" s="102">
        <f t="shared" si="10"/>
        <v>1752.4996016256389</v>
      </c>
      <c r="AU27" s="102">
        <f t="shared" si="10"/>
        <v>1218.1256273766426</v>
      </c>
      <c r="AV27" s="102">
        <f t="shared" si="10"/>
        <v>679.46336013754762</v>
      </c>
      <c r="AW27" s="102">
        <f t="shared" si="10"/>
        <v>238.49347391251467</v>
      </c>
      <c r="AX27" s="102">
        <f t="shared" si="10"/>
        <v>13.387609225599874</v>
      </c>
      <c r="AY27" s="102">
        <f t="shared" si="10"/>
        <v>-0.28434999999740462</v>
      </c>
      <c r="AZ27" s="102">
        <f t="shared" si="10"/>
        <v>-0.28434999999740462</v>
      </c>
      <c r="BA27" s="102">
        <f t="shared" si="10"/>
        <v>-0.28434999999740462</v>
      </c>
      <c r="BB27" s="102">
        <f t="shared" si="10"/>
        <v>-0.28434999999740462</v>
      </c>
      <c r="BC27" s="102">
        <f t="shared" si="10"/>
        <v>-0.28434999999740462</v>
      </c>
      <c r="BD27" s="102">
        <f t="shared" si="10"/>
        <v>-0.28434999999740462</v>
      </c>
      <c r="BE27" s="102"/>
      <c r="BF27" s="102"/>
      <c r="BG27" s="102"/>
      <c r="BH27" s="102"/>
      <c r="BI27" s="102"/>
    </row>
    <row r="28" spans="1:61" s="17" customFormat="1" hidden="1" outlineLevel="1" x14ac:dyDescent="0.25">
      <c r="A28" s="16"/>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row>
    <row r="29" spans="1:61" hidden="1" outlineLevel="1" x14ac:dyDescent="0.25">
      <c r="A29" s="20" t="s">
        <v>226</v>
      </c>
      <c r="B29" s="101">
        <f t="shared" ref="B29:B47" si="11">SUM(C29:BB29)</f>
        <v>1185.8646326984344</v>
      </c>
      <c r="C29" s="102">
        <v>0</v>
      </c>
      <c r="D29" s="102"/>
      <c r="E29" s="102"/>
      <c r="F29" s="102"/>
      <c r="G29" s="102"/>
      <c r="H29" s="102"/>
      <c r="I29" s="102"/>
      <c r="J29" s="102"/>
      <c r="K29" s="102"/>
      <c r="L29" s="102"/>
      <c r="M29" s="102"/>
      <c r="N29" s="102"/>
      <c r="O29" s="102"/>
      <c r="P29" s="102"/>
      <c r="Q29" s="102"/>
      <c r="R29" s="102"/>
      <c r="S29" s="102"/>
      <c r="T29" s="102"/>
      <c r="U29" s="102"/>
      <c r="V29" s="102"/>
      <c r="W29" s="102"/>
      <c r="X29" s="102"/>
      <c r="Y29" s="102"/>
      <c r="Z29" s="102">
        <f>+Z$8</f>
        <v>1185.8646326984344</v>
      </c>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row>
    <row r="30" spans="1:61" s="17" customFormat="1" hidden="1" outlineLevel="1" x14ac:dyDescent="0.25">
      <c r="A30" s="16" t="s">
        <v>163</v>
      </c>
      <c r="B30" s="101">
        <f t="shared" si="11"/>
        <v>612.28982440851166</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f>+Z34-Z32</f>
        <v>11.322385378410488</v>
      </c>
      <c r="AA30" s="102">
        <f>+AA34-AA32</f>
        <v>11.633471690810772</v>
      </c>
      <c r="AB30" s="102">
        <f t="shared" ref="AB30:AN31" si="12">+AB34-AB32</f>
        <v>12.28152075316985</v>
      </c>
      <c r="AC30" s="102">
        <f t="shared" si="12"/>
        <v>12.965669751849418</v>
      </c>
      <c r="AD30" s="102">
        <f t="shared" si="12"/>
        <v>13.68792965404014</v>
      </c>
      <c r="AE30" s="102">
        <f t="shared" si="12"/>
        <v>14.450423448987397</v>
      </c>
      <c r="AF30" s="102">
        <f t="shared" si="12"/>
        <v>15.255392388242651</v>
      </c>
      <c r="AG30" s="102">
        <f t="shared" si="12"/>
        <v>16.105202573531503</v>
      </c>
      <c r="AH30" s="102">
        <f t="shared" si="12"/>
        <v>17.002351911602641</v>
      </c>
      <c r="AI30" s="102">
        <f t="shared" si="12"/>
        <v>17.949477456500524</v>
      </c>
      <c r="AJ30" s="102">
        <f t="shared" si="12"/>
        <v>18.949363160843522</v>
      </c>
      <c r="AK30" s="102">
        <f t="shared" si="12"/>
        <v>20.004948058891312</v>
      </c>
      <c r="AL30" s="102">
        <f t="shared" si="12"/>
        <v>21.119334905454664</v>
      </c>
      <c r="AM30" s="102">
        <f t="shared" si="12"/>
        <v>22.295799296040506</v>
      </c>
      <c r="AN30" s="102">
        <f t="shared" si="12"/>
        <v>23.537799295039804</v>
      </c>
      <c r="AO30" s="102">
        <f t="shared" ref="AO30:AY30" si="13">+AO34-AO32</f>
        <v>24.848985600259045</v>
      </c>
      <c r="AP30" s="102">
        <f t="shared" si="13"/>
        <v>26.233212273672642</v>
      </c>
      <c r="AQ30" s="102">
        <f t="shared" si="13"/>
        <v>27.694548069937898</v>
      </c>
      <c r="AR30" s="102">
        <f t="shared" si="13"/>
        <v>29.237288395971305</v>
      </c>
      <c r="AS30" s="102">
        <f t="shared" si="13"/>
        <v>30.865967936739651</v>
      </c>
      <c r="AT30" s="102">
        <f t="shared" si="13"/>
        <v>32.585373984378002</v>
      </c>
      <c r="AU30" s="102">
        <f t="shared" si="13"/>
        <v>34.400560509813602</v>
      </c>
      <c r="AV30" s="102">
        <f t="shared" si="13"/>
        <v>36.316863018257486</v>
      </c>
      <c r="AW30" s="102">
        <f t="shared" si="13"/>
        <v>38.339914232229603</v>
      </c>
      <c r="AX30" s="102">
        <f t="shared" si="13"/>
        <v>40.47566064821563</v>
      </c>
      <c r="AY30" s="102">
        <f t="shared" si="13"/>
        <v>42.730380015621634</v>
      </c>
      <c r="AZ30" s="102"/>
      <c r="BA30" s="102"/>
      <c r="BB30" s="102"/>
      <c r="BC30" s="102"/>
      <c r="BD30" s="102"/>
      <c r="BE30" s="102"/>
      <c r="BF30" s="102"/>
      <c r="BG30" s="102"/>
      <c r="BH30" s="102"/>
      <c r="BI30" s="102"/>
    </row>
    <row r="31" spans="1:61" s="17" customFormat="1" hidden="1" outlineLevel="1" x14ac:dyDescent="0.25">
      <c r="A31" s="16" t="s">
        <v>163</v>
      </c>
      <c r="B31" s="101">
        <f t="shared" si="11"/>
        <v>573.57480828992209</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f>+AA35-AA33</f>
        <v>11.953105203339693</v>
      </c>
      <c r="AB31" s="102">
        <f t="shared" si="12"/>
        <v>12.618959629703443</v>
      </c>
      <c r="AC31" s="102">
        <f t="shared" si="12"/>
        <v>13.321905850171397</v>
      </c>
      <c r="AD31" s="102">
        <f t="shared" si="12"/>
        <v>14.06401008392811</v>
      </c>
      <c r="AE31" s="102">
        <f t="shared" si="12"/>
        <v>14.847453650056142</v>
      </c>
      <c r="AF31" s="102">
        <f t="shared" si="12"/>
        <v>15.674539379240414</v>
      </c>
      <c r="AG31" s="102">
        <f t="shared" si="12"/>
        <v>16.547698382640139</v>
      </c>
      <c r="AH31" s="102">
        <f t="shared" si="12"/>
        <v>17.469497197824559</v>
      </c>
      <c r="AI31" s="102">
        <f t="shared" si="12"/>
        <v>18.442645332777026</v>
      </c>
      <c r="AJ31" s="102">
        <f t="shared" si="12"/>
        <v>19.470003230142083</v>
      </c>
      <c r="AK31" s="102">
        <f t="shared" si="12"/>
        <v>20.554590675125372</v>
      </c>
      <c r="AL31" s="102">
        <f t="shared" si="12"/>
        <v>21.699595671760335</v>
      </c>
      <c r="AM31" s="102">
        <f t="shared" si="12"/>
        <v>22.908383813632319</v>
      </c>
      <c r="AN31" s="102">
        <f t="shared" si="12"/>
        <v>24.184508176604123</v>
      </c>
      <c r="AO31" s="102">
        <f t="shared" ref="AO31:AY31" si="14">+AO35-AO33</f>
        <v>25.531719762621364</v>
      </c>
      <c r="AP31" s="102">
        <f t="shared" si="14"/>
        <v>26.953978525295888</v>
      </c>
      <c r="AQ31" s="102">
        <f t="shared" si="14"/>
        <v>28.455465009675464</v>
      </c>
      <c r="AR31" s="102">
        <f t="shared" si="14"/>
        <v>30.040592640413415</v>
      </c>
      <c r="AS31" s="102">
        <f t="shared" si="14"/>
        <v>31.714020694457552</v>
      </c>
      <c r="AT31" s="102">
        <f t="shared" si="14"/>
        <v>33.480667996390117</v>
      </c>
      <c r="AU31" s="102">
        <f t="shared" si="14"/>
        <v>35.345727376674233</v>
      </c>
      <c r="AV31" s="102">
        <f t="shared" si="14"/>
        <v>37.314680935305113</v>
      </c>
      <c r="AW31" s="102">
        <f t="shared" si="14"/>
        <v>39.393316155731519</v>
      </c>
      <c r="AX31" s="102">
        <f t="shared" si="14"/>
        <v>41.587742916412239</v>
      </c>
      <c r="AY31" s="102">
        <f t="shared" si="14"/>
        <v>-2.4988670096111792E-14</v>
      </c>
      <c r="AZ31" s="102"/>
      <c r="BA31" s="102"/>
      <c r="BB31" s="102"/>
      <c r="BC31" s="102"/>
      <c r="BD31" s="102"/>
      <c r="BE31" s="102"/>
      <c r="BF31" s="102"/>
      <c r="BG31" s="102"/>
      <c r="BH31" s="102"/>
      <c r="BI31" s="102"/>
    </row>
    <row r="32" spans="1:61" s="17" customFormat="1" hidden="1" outlineLevel="1" x14ac:dyDescent="0.25">
      <c r="A32" s="16" t="s">
        <v>164</v>
      </c>
      <c r="B32" s="101">
        <f t="shared" si="11"/>
        <v>529.2248732917709</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f>+Z29*($Z$9/2)</f>
        <v>32.582026071600382</v>
      </c>
      <c r="AA32" s="102">
        <f t="shared" ref="AA32:AN32" si="15">+Z37*$Z$9/2</f>
        <v>32.270939759200097</v>
      </c>
      <c r="AB32" s="102">
        <f t="shared" si="15"/>
        <v>31.622890696841019</v>
      </c>
      <c r="AC32" s="102">
        <f t="shared" si="15"/>
        <v>30.938741698161451</v>
      </c>
      <c r="AD32" s="102">
        <f t="shared" si="15"/>
        <v>30.216481795970729</v>
      </c>
      <c r="AE32" s="102">
        <f t="shared" si="15"/>
        <v>29.453988001023472</v>
      </c>
      <c r="AF32" s="102">
        <f t="shared" si="15"/>
        <v>28.649019061768218</v>
      </c>
      <c r="AG32" s="102">
        <f t="shared" si="15"/>
        <v>27.799208876479366</v>
      </c>
      <c r="AH32" s="102">
        <f t="shared" si="15"/>
        <v>26.902059538408228</v>
      </c>
      <c r="AI32" s="102">
        <f t="shared" si="15"/>
        <v>25.954933993510345</v>
      </c>
      <c r="AJ32" s="102">
        <f t="shared" si="15"/>
        <v>24.955048289167348</v>
      </c>
      <c r="AK32" s="102">
        <f t="shared" si="15"/>
        <v>23.899463391119557</v>
      </c>
      <c r="AL32" s="102">
        <f t="shared" si="15"/>
        <v>22.785076544556205</v>
      </c>
      <c r="AM32" s="102">
        <f t="shared" si="15"/>
        <v>21.608612153970363</v>
      </c>
      <c r="AN32" s="102">
        <f t="shared" si="15"/>
        <v>20.366612154971065</v>
      </c>
      <c r="AO32" s="102">
        <f t="shared" ref="AO32" si="16">+AN37*$Z$9/2</f>
        <v>19.055425849751824</v>
      </c>
      <c r="AP32" s="102">
        <f t="shared" ref="AP32" si="17">+AO37*$Z$9/2</f>
        <v>17.671199176338227</v>
      </c>
      <c r="AQ32" s="102">
        <f t="shared" ref="AQ32" si="18">+AP37*$Z$9/2</f>
        <v>16.209863380072971</v>
      </c>
      <c r="AR32" s="102">
        <f t="shared" ref="AR32" si="19">+AQ37*$Z$9/2</f>
        <v>14.667123054039566</v>
      </c>
      <c r="AS32" s="102">
        <f t="shared" ref="AS32" si="20">+AR37*$Z$9/2</f>
        <v>13.038443513271218</v>
      </c>
      <c r="AT32" s="102">
        <f t="shared" ref="AT32" si="21">+AS37*$Z$9/2</f>
        <v>11.319037465632865</v>
      </c>
      <c r="AU32" s="102">
        <f t="shared" ref="AU32" si="22">+AT37*$Z$9/2</f>
        <v>9.5038509401972675</v>
      </c>
      <c r="AV32" s="102">
        <f t="shared" ref="AV32" si="23">+AU37*$Z$9/2</f>
        <v>7.587548431753385</v>
      </c>
      <c r="AW32" s="102">
        <f t="shared" ref="AW32" si="24">+AV37*$Z$9/2</f>
        <v>5.5644972177812679</v>
      </c>
      <c r="AX32" s="102">
        <f t="shared" ref="AX32" si="25">+AW37*$Z$9/2</f>
        <v>3.4287508017952399</v>
      </c>
      <c r="AY32" s="102">
        <f t="shared" ref="AY32" si="26">+AX37*$Z$9/2</f>
        <v>1.1740314343892344</v>
      </c>
      <c r="AZ32" s="102"/>
      <c r="BA32" s="102"/>
      <c r="BB32" s="102"/>
      <c r="BC32" s="102"/>
      <c r="BD32" s="102"/>
      <c r="BE32" s="102"/>
      <c r="BF32" s="102"/>
      <c r="BG32" s="102"/>
      <c r="BH32" s="102"/>
      <c r="BI32" s="102"/>
    </row>
    <row r="33" spans="1:61" s="17" customFormat="1" hidden="1" outlineLevel="1" x14ac:dyDescent="0.25">
      <c r="A33" s="16" t="s">
        <v>164</v>
      </c>
      <c r="B33" s="101">
        <f t="shared" si="11"/>
        <v>480.13106651033871</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f t="shared" ref="AA33:AN33" si="27">+AA36*$Z$9/2</f>
        <v>31.951306246671177</v>
      </c>
      <c r="AB33" s="102">
        <f t="shared" si="27"/>
        <v>31.285451820307426</v>
      </c>
      <c r="AC33" s="102">
        <f t="shared" si="27"/>
        <v>30.582505599839472</v>
      </c>
      <c r="AD33" s="102">
        <f t="shared" si="27"/>
        <v>29.840401366082759</v>
      </c>
      <c r="AE33" s="102">
        <f t="shared" si="27"/>
        <v>29.056957799954727</v>
      </c>
      <c r="AF33" s="102">
        <f t="shared" si="27"/>
        <v>28.229872070770455</v>
      </c>
      <c r="AG33" s="102">
        <f t="shared" si="27"/>
        <v>27.35671306737073</v>
      </c>
      <c r="AH33" s="102">
        <f t="shared" si="27"/>
        <v>26.43491425218631</v>
      </c>
      <c r="AI33" s="102">
        <f t="shared" si="27"/>
        <v>25.461766117233843</v>
      </c>
      <c r="AJ33" s="102">
        <f t="shared" si="27"/>
        <v>24.434408219868786</v>
      </c>
      <c r="AK33" s="102">
        <f t="shared" si="27"/>
        <v>23.349820774885497</v>
      </c>
      <c r="AL33" s="102">
        <f t="shared" si="27"/>
        <v>22.204815778250534</v>
      </c>
      <c r="AM33" s="102">
        <f t="shared" si="27"/>
        <v>20.99602763637855</v>
      </c>
      <c r="AN33" s="102">
        <f t="shared" si="27"/>
        <v>19.719903273406747</v>
      </c>
      <c r="AO33" s="102">
        <f t="shared" ref="AO33:AY33" si="28">+AO36*$Z$9/2</f>
        <v>18.372691687389505</v>
      </c>
      <c r="AP33" s="102">
        <f t="shared" si="28"/>
        <v>16.950432924714981</v>
      </c>
      <c r="AQ33" s="102">
        <f t="shared" si="28"/>
        <v>15.448946440335403</v>
      </c>
      <c r="AR33" s="102">
        <f t="shared" si="28"/>
        <v>13.863818809597456</v>
      </c>
      <c r="AS33" s="102">
        <f t="shared" si="28"/>
        <v>12.190390755553317</v>
      </c>
      <c r="AT33" s="102">
        <f t="shared" si="28"/>
        <v>10.423743453620752</v>
      </c>
      <c r="AU33" s="102">
        <f t="shared" si="28"/>
        <v>8.5586840733366358</v>
      </c>
      <c r="AV33" s="102">
        <f t="shared" si="28"/>
        <v>6.5897305147057548</v>
      </c>
      <c r="AW33" s="102">
        <f t="shared" si="28"/>
        <v>4.5110952942793485</v>
      </c>
      <c r="AX33" s="102">
        <f t="shared" si="28"/>
        <v>2.3166685335986328</v>
      </c>
      <c r="AY33" s="102">
        <f t="shared" si="28"/>
        <v>2.4988670096111792E-14</v>
      </c>
      <c r="AZ33" s="102"/>
      <c r="BA33" s="102"/>
      <c r="BB33" s="102"/>
      <c r="BC33" s="102"/>
      <c r="BD33" s="102"/>
      <c r="BE33" s="102"/>
      <c r="BF33" s="102"/>
      <c r="BG33" s="102"/>
      <c r="BH33" s="102"/>
      <c r="BI33" s="102"/>
    </row>
    <row r="34" spans="1:61" s="17" customFormat="1" hidden="1" outlineLevel="1" x14ac:dyDescent="0.25">
      <c r="A34" s="16" t="s">
        <v>220</v>
      </c>
      <c r="B34" s="101">
        <f t="shared" si="11"/>
        <v>1141.514697700283</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f>-PMT($Z$9/2,$Z$10*2,Z29)</f>
        <v>43.904411450010869</v>
      </c>
      <c r="AA34" s="102">
        <f t="shared" ref="AA34:AN34" si="29">+Z34</f>
        <v>43.904411450010869</v>
      </c>
      <c r="AB34" s="102">
        <f t="shared" si="29"/>
        <v>43.904411450010869</v>
      </c>
      <c r="AC34" s="102">
        <f t="shared" si="29"/>
        <v>43.904411450010869</v>
      </c>
      <c r="AD34" s="102">
        <f t="shared" si="29"/>
        <v>43.904411450010869</v>
      </c>
      <c r="AE34" s="102">
        <f t="shared" si="29"/>
        <v>43.904411450010869</v>
      </c>
      <c r="AF34" s="102">
        <f t="shared" si="29"/>
        <v>43.904411450010869</v>
      </c>
      <c r="AG34" s="102">
        <f t="shared" si="29"/>
        <v>43.904411450010869</v>
      </c>
      <c r="AH34" s="102">
        <f t="shared" si="29"/>
        <v>43.904411450010869</v>
      </c>
      <c r="AI34" s="102">
        <f t="shared" si="29"/>
        <v>43.904411450010869</v>
      </c>
      <c r="AJ34" s="102">
        <f t="shared" si="29"/>
        <v>43.904411450010869</v>
      </c>
      <c r="AK34" s="102">
        <f t="shared" si="29"/>
        <v>43.904411450010869</v>
      </c>
      <c r="AL34" s="102">
        <f t="shared" si="29"/>
        <v>43.904411450010869</v>
      </c>
      <c r="AM34" s="102">
        <f t="shared" si="29"/>
        <v>43.904411450010869</v>
      </c>
      <c r="AN34" s="102">
        <f t="shared" si="29"/>
        <v>43.904411450010869</v>
      </c>
      <c r="AO34" s="102">
        <f t="shared" ref="AO34" si="30">+AN34</f>
        <v>43.904411450010869</v>
      </c>
      <c r="AP34" s="102">
        <f t="shared" ref="AP34" si="31">+AO34</f>
        <v>43.904411450010869</v>
      </c>
      <c r="AQ34" s="102">
        <f t="shared" ref="AQ34" si="32">+AP34</f>
        <v>43.904411450010869</v>
      </c>
      <c r="AR34" s="102">
        <f t="shared" ref="AR34" si="33">+AQ34</f>
        <v>43.904411450010869</v>
      </c>
      <c r="AS34" s="102">
        <f t="shared" ref="AS34" si="34">+AR34</f>
        <v>43.904411450010869</v>
      </c>
      <c r="AT34" s="102">
        <f t="shared" ref="AT34" si="35">+AS34</f>
        <v>43.904411450010869</v>
      </c>
      <c r="AU34" s="102">
        <f t="shared" ref="AU34" si="36">+AT34</f>
        <v>43.904411450010869</v>
      </c>
      <c r="AV34" s="102">
        <f t="shared" ref="AV34" si="37">+AU34</f>
        <v>43.904411450010869</v>
      </c>
      <c r="AW34" s="102">
        <f t="shared" ref="AW34" si="38">+AV34</f>
        <v>43.904411450010869</v>
      </c>
      <c r="AX34" s="102">
        <f t="shared" ref="AX34" si="39">+AW34</f>
        <v>43.904411450010869</v>
      </c>
      <c r="AY34" s="102">
        <f t="shared" ref="AY34" si="40">+AX34</f>
        <v>43.904411450010869</v>
      </c>
      <c r="AZ34" s="102"/>
      <c r="BA34" s="102"/>
      <c r="BB34" s="102"/>
      <c r="BC34" s="102"/>
      <c r="BD34" s="102"/>
      <c r="BE34" s="102"/>
      <c r="BF34" s="102"/>
      <c r="BG34" s="102"/>
      <c r="BH34" s="102"/>
      <c r="BI34" s="102"/>
    </row>
    <row r="35" spans="1:61" s="17" customFormat="1" hidden="1" outlineLevel="1" x14ac:dyDescent="0.25">
      <c r="A35" s="16" t="s">
        <v>220</v>
      </c>
      <c r="B35" s="101">
        <f t="shared" si="11"/>
        <v>1053.7058748002612</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f t="shared" ref="AA35:AN35" si="41">+AA34</f>
        <v>43.904411450010869</v>
      </c>
      <c r="AB35" s="102">
        <f t="shared" si="41"/>
        <v>43.904411450010869</v>
      </c>
      <c r="AC35" s="102">
        <f t="shared" si="41"/>
        <v>43.904411450010869</v>
      </c>
      <c r="AD35" s="102">
        <f t="shared" si="41"/>
        <v>43.904411450010869</v>
      </c>
      <c r="AE35" s="102">
        <f t="shared" si="41"/>
        <v>43.904411450010869</v>
      </c>
      <c r="AF35" s="102">
        <f t="shared" si="41"/>
        <v>43.904411450010869</v>
      </c>
      <c r="AG35" s="102">
        <f t="shared" si="41"/>
        <v>43.904411450010869</v>
      </c>
      <c r="AH35" s="102">
        <f t="shared" si="41"/>
        <v>43.904411450010869</v>
      </c>
      <c r="AI35" s="102">
        <f t="shared" si="41"/>
        <v>43.904411450010869</v>
      </c>
      <c r="AJ35" s="102">
        <f t="shared" si="41"/>
        <v>43.904411450010869</v>
      </c>
      <c r="AK35" s="102">
        <f t="shared" si="41"/>
        <v>43.904411450010869</v>
      </c>
      <c r="AL35" s="102">
        <f t="shared" si="41"/>
        <v>43.904411450010869</v>
      </c>
      <c r="AM35" s="102">
        <f t="shared" si="41"/>
        <v>43.904411450010869</v>
      </c>
      <c r="AN35" s="102">
        <f t="shared" si="41"/>
        <v>43.904411450010869</v>
      </c>
      <c r="AO35" s="102">
        <f t="shared" ref="AO35:AX35" si="42">+AO34</f>
        <v>43.904411450010869</v>
      </c>
      <c r="AP35" s="102">
        <f t="shared" si="42"/>
        <v>43.904411450010869</v>
      </c>
      <c r="AQ35" s="102">
        <f t="shared" si="42"/>
        <v>43.904411450010869</v>
      </c>
      <c r="AR35" s="102">
        <f t="shared" si="42"/>
        <v>43.904411450010869</v>
      </c>
      <c r="AS35" s="102">
        <f t="shared" si="42"/>
        <v>43.904411450010869</v>
      </c>
      <c r="AT35" s="102">
        <f t="shared" si="42"/>
        <v>43.904411450010869</v>
      </c>
      <c r="AU35" s="102">
        <f t="shared" si="42"/>
        <v>43.904411450010869</v>
      </c>
      <c r="AV35" s="102">
        <f t="shared" si="42"/>
        <v>43.904411450010869</v>
      </c>
      <c r="AW35" s="102">
        <f t="shared" si="42"/>
        <v>43.904411450010869</v>
      </c>
      <c r="AX35" s="102">
        <f t="shared" si="42"/>
        <v>43.904411450010869</v>
      </c>
      <c r="AY35" s="102"/>
      <c r="AZ35" s="102"/>
      <c r="BA35" s="102"/>
      <c r="BB35" s="102"/>
      <c r="BC35" s="102"/>
      <c r="BD35" s="102"/>
      <c r="BE35" s="102"/>
      <c r="BF35" s="102"/>
      <c r="BG35" s="102"/>
      <c r="BH35" s="102"/>
      <c r="BI35" s="102"/>
    </row>
    <row r="36" spans="1:61" s="17" customFormat="1" hidden="1" outlineLevel="1" x14ac:dyDescent="0.25">
      <c r="A36" s="16" t="s">
        <v>227</v>
      </c>
      <c r="B36" s="101">
        <f t="shared" si="11"/>
        <v>17474.98604240187</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v>0</v>
      </c>
      <c r="AA36" s="102">
        <f t="shared" ref="AA36:AN36" si="43">+Z37-AA30</f>
        <v>1162.9087756292133</v>
      </c>
      <c r="AB36" s="102">
        <f t="shared" si="43"/>
        <v>1138.6741496727038</v>
      </c>
      <c r="AC36" s="102">
        <f t="shared" si="43"/>
        <v>1113.0895202911511</v>
      </c>
      <c r="AD36" s="102">
        <f t="shared" si="43"/>
        <v>1086.0796847869397</v>
      </c>
      <c r="AE36" s="102">
        <f t="shared" si="43"/>
        <v>1057.5652512540241</v>
      </c>
      <c r="AF36" s="102">
        <f t="shared" si="43"/>
        <v>1027.4624052157253</v>
      </c>
      <c r="AG36" s="102">
        <f t="shared" si="43"/>
        <v>995.68266326295338</v>
      </c>
      <c r="AH36" s="102">
        <f t="shared" si="43"/>
        <v>962.13261296871053</v>
      </c>
      <c r="AI36" s="102">
        <f t="shared" si="43"/>
        <v>926.71363831438543</v>
      </c>
      <c r="AJ36" s="102">
        <f t="shared" si="43"/>
        <v>889.32162982076488</v>
      </c>
      <c r="AK36" s="102">
        <f t="shared" si="43"/>
        <v>849.84667853173153</v>
      </c>
      <c r="AL36" s="102">
        <f t="shared" si="43"/>
        <v>808.17275295115144</v>
      </c>
      <c r="AM36" s="102">
        <f t="shared" si="43"/>
        <v>764.17735798335059</v>
      </c>
      <c r="AN36" s="102">
        <f t="shared" si="43"/>
        <v>717.73117487467846</v>
      </c>
      <c r="AO36" s="102">
        <f t="shared" ref="AO36" si="44">+AN37-AO30</f>
        <v>668.69768109781523</v>
      </c>
      <c r="AP36" s="102">
        <f t="shared" ref="AP36" si="45">+AO37-AP30</f>
        <v>616.93274906152124</v>
      </c>
      <c r="AQ36" s="102">
        <f t="shared" ref="AQ36" si="46">+AP37-AQ30</f>
        <v>562.28422246628747</v>
      </c>
      <c r="AR36" s="102">
        <f t="shared" ref="AR36" si="47">+AQ37-AR30</f>
        <v>504.59146906064075</v>
      </c>
      <c r="AS36" s="102">
        <f t="shared" ref="AS36" si="48">+AR37-AS30</f>
        <v>443.68490848348767</v>
      </c>
      <c r="AT36" s="102">
        <f t="shared" ref="AT36" si="49">+AS37-AT30</f>
        <v>379.38551380465213</v>
      </c>
      <c r="AU36" s="102">
        <f t="shared" ref="AU36" si="50">+AT37-AU30</f>
        <v>311.50428529844839</v>
      </c>
      <c r="AV36" s="102">
        <f t="shared" ref="AV36" si="51">+AU37-AV30</f>
        <v>239.84169490351667</v>
      </c>
      <c r="AW36" s="102">
        <f t="shared" ref="AW36" si="52">+AV37-AW30</f>
        <v>164.18709973598195</v>
      </c>
      <c r="AX36" s="102">
        <f t="shared" ref="AX36" si="53">+AW37-AX30</f>
        <v>84.318122932034782</v>
      </c>
      <c r="AY36" s="102">
        <f t="shared" ref="AY36" si="54">+AX37-AY30</f>
        <v>9.0949470177292824E-13</v>
      </c>
      <c r="AZ36" s="102"/>
      <c r="BA36" s="102"/>
      <c r="BB36" s="102"/>
      <c r="BC36" s="102"/>
      <c r="BD36" s="102"/>
      <c r="BE36" s="102"/>
      <c r="BF36" s="102"/>
      <c r="BG36" s="102"/>
      <c r="BH36" s="102"/>
      <c r="BI36" s="102"/>
    </row>
    <row r="37" spans="1:61" s="17" customFormat="1" hidden="1" outlineLevel="1" x14ac:dyDescent="0.25">
      <c r="A37" s="16" t="s">
        <v>16</v>
      </c>
      <c r="B37" s="101">
        <f t="shared" si="11"/>
        <v>18075.95348143197</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f>+Z29-Z30</f>
        <v>1174.542247320024</v>
      </c>
      <c r="AA37" s="102">
        <f t="shared" ref="AA37:AN37" si="55">+AA36-AA31</f>
        <v>1150.9556704258737</v>
      </c>
      <c r="AB37" s="102">
        <f t="shared" si="55"/>
        <v>1126.0551900430005</v>
      </c>
      <c r="AC37" s="102">
        <f t="shared" si="55"/>
        <v>1099.7676144409797</v>
      </c>
      <c r="AD37" s="102">
        <f t="shared" si="55"/>
        <v>1072.0156747030114</v>
      </c>
      <c r="AE37" s="102">
        <f t="shared" si="55"/>
        <v>1042.7177976039679</v>
      </c>
      <c r="AF37" s="102">
        <f t="shared" si="55"/>
        <v>1011.7878658364849</v>
      </c>
      <c r="AG37" s="102">
        <f t="shared" si="55"/>
        <v>979.13496488031319</v>
      </c>
      <c r="AH37" s="102">
        <f t="shared" si="55"/>
        <v>944.66311577088595</v>
      </c>
      <c r="AI37" s="102">
        <f t="shared" si="55"/>
        <v>908.2709929816084</v>
      </c>
      <c r="AJ37" s="102">
        <f t="shared" si="55"/>
        <v>869.8516265906228</v>
      </c>
      <c r="AK37" s="102">
        <f t="shared" si="55"/>
        <v>829.29208785660614</v>
      </c>
      <c r="AL37" s="102">
        <f t="shared" si="55"/>
        <v>786.4731572793911</v>
      </c>
      <c r="AM37" s="102">
        <f t="shared" si="55"/>
        <v>741.26897416971826</v>
      </c>
      <c r="AN37" s="102">
        <f t="shared" si="55"/>
        <v>693.54666669807432</v>
      </c>
      <c r="AO37" s="102">
        <f t="shared" ref="AO37:AY37" si="56">+AO36-AO31</f>
        <v>643.16596133519386</v>
      </c>
      <c r="AP37" s="102">
        <f t="shared" si="56"/>
        <v>589.9787705362254</v>
      </c>
      <c r="AQ37" s="102">
        <f t="shared" si="56"/>
        <v>533.82875745661204</v>
      </c>
      <c r="AR37" s="102">
        <f t="shared" si="56"/>
        <v>474.55087642022733</v>
      </c>
      <c r="AS37" s="102">
        <f t="shared" si="56"/>
        <v>411.97088778903014</v>
      </c>
      <c r="AT37" s="102">
        <f t="shared" si="56"/>
        <v>345.904845808262</v>
      </c>
      <c r="AU37" s="102">
        <f t="shared" si="56"/>
        <v>276.15855792177416</v>
      </c>
      <c r="AV37" s="102">
        <f t="shared" si="56"/>
        <v>202.52701396821155</v>
      </c>
      <c r="AW37" s="102">
        <f t="shared" si="56"/>
        <v>124.79378358025042</v>
      </c>
      <c r="AX37" s="102">
        <f t="shared" si="56"/>
        <v>42.730380015622544</v>
      </c>
      <c r="AY37" s="102">
        <f t="shared" si="56"/>
        <v>9.3448337186904E-13</v>
      </c>
      <c r="AZ37" s="102"/>
      <c r="BA37" s="102"/>
      <c r="BB37" s="102"/>
      <c r="BC37" s="102"/>
      <c r="BD37" s="102"/>
      <c r="BE37" s="102"/>
      <c r="BF37" s="102"/>
      <c r="BG37" s="102"/>
      <c r="BH37" s="102"/>
      <c r="BI37" s="102"/>
    </row>
    <row r="38" spans="1:61" s="17" customFormat="1" hidden="1" outlineLevel="1" x14ac:dyDescent="0.25">
      <c r="A38" s="16"/>
      <c r="B38" s="101">
        <f t="shared" si="11"/>
        <v>0</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row>
    <row r="39" spans="1:61" hidden="1" outlineLevel="1" x14ac:dyDescent="0.25">
      <c r="A39" s="20" t="str">
        <f t="shared" ref="A39:A47" si="57">A29</f>
        <v>Debt Forecasted</v>
      </c>
      <c r="B39" s="101">
        <f t="shared" si="11"/>
        <v>0</v>
      </c>
      <c r="C39" s="102">
        <v>0</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f>+AA$8</f>
        <v>0</v>
      </c>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row>
    <row r="40" spans="1:61" s="17" customFormat="1" hidden="1" outlineLevel="1" x14ac:dyDescent="0.25">
      <c r="A40" s="16" t="str">
        <f t="shared" si="57"/>
        <v>Principal</v>
      </c>
      <c r="B40" s="101">
        <f t="shared" si="11"/>
        <v>0</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f>+AA44-AA42</f>
        <v>0</v>
      </c>
      <c r="AB40" s="102">
        <f>+AB44-AB42</f>
        <v>0</v>
      </c>
      <c r="AC40" s="102">
        <f t="shared" ref="AC40:AP41" si="58">+AC44-AC42</f>
        <v>0</v>
      </c>
      <c r="AD40" s="102">
        <f t="shared" si="58"/>
        <v>0</v>
      </c>
      <c r="AE40" s="102">
        <f t="shared" si="58"/>
        <v>0</v>
      </c>
      <c r="AF40" s="102">
        <f t="shared" si="58"/>
        <v>0</v>
      </c>
      <c r="AG40" s="102">
        <f t="shared" si="58"/>
        <v>0</v>
      </c>
      <c r="AH40" s="102">
        <f t="shared" si="58"/>
        <v>0</v>
      </c>
      <c r="AI40" s="102">
        <f t="shared" si="58"/>
        <v>0</v>
      </c>
      <c r="AJ40" s="102">
        <f t="shared" si="58"/>
        <v>0</v>
      </c>
      <c r="AK40" s="102">
        <f t="shared" si="58"/>
        <v>0</v>
      </c>
      <c r="AL40" s="102">
        <f t="shared" si="58"/>
        <v>0</v>
      </c>
      <c r="AM40" s="102">
        <f t="shared" si="58"/>
        <v>0</v>
      </c>
      <c r="AN40" s="102">
        <f t="shared" si="58"/>
        <v>0</v>
      </c>
      <c r="AO40" s="102">
        <f t="shared" si="58"/>
        <v>0</v>
      </c>
      <c r="AP40" s="102">
        <f t="shared" si="58"/>
        <v>0</v>
      </c>
      <c r="AQ40" s="102"/>
      <c r="AR40" s="102"/>
      <c r="AS40" s="102"/>
      <c r="AT40" s="102"/>
      <c r="AU40" s="102"/>
      <c r="AV40" s="102"/>
      <c r="AW40" s="102"/>
      <c r="AX40" s="102"/>
      <c r="AY40" s="102"/>
      <c r="AZ40" s="102"/>
      <c r="BA40" s="102"/>
      <c r="BB40" s="102"/>
      <c r="BC40" s="102"/>
      <c r="BD40" s="102"/>
      <c r="BE40" s="102"/>
      <c r="BF40" s="102"/>
      <c r="BG40" s="102"/>
      <c r="BH40" s="102"/>
      <c r="BI40" s="102"/>
    </row>
    <row r="41" spans="1:61" s="17" customFormat="1" hidden="1" outlineLevel="1" x14ac:dyDescent="0.25">
      <c r="A41" s="16" t="str">
        <f t="shared" si="57"/>
        <v>Principal</v>
      </c>
      <c r="B41" s="101">
        <f t="shared" si="11"/>
        <v>0</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f>+AB45-AB43</f>
        <v>0</v>
      </c>
      <c r="AC41" s="102">
        <f t="shared" si="58"/>
        <v>0</v>
      </c>
      <c r="AD41" s="102">
        <f t="shared" si="58"/>
        <v>0</v>
      </c>
      <c r="AE41" s="102">
        <f t="shared" si="58"/>
        <v>0</v>
      </c>
      <c r="AF41" s="102">
        <f t="shared" si="58"/>
        <v>0</v>
      </c>
      <c r="AG41" s="102">
        <f t="shared" si="58"/>
        <v>0</v>
      </c>
      <c r="AH41" s="102">
        <f t="shared" si="58"/>
        <v>0</v>
      </c>
      <c r="AI41" s="102">
        <f t="shared" si="58"/>
        <v>0</v>
      </c>
      <c r="AJ41" s="102">
        <f t="shared" si="58"/>
        <v>0</v>
      </c>
      <c r="AK41" s="102">
        <f t="shared" si="58"/>
        <v>0</v>
      </c>
      <c r="AL41" s="102">
        <f t="shared" si="58"/>
        <v>0</v>
      </c>
      <c r="AM41" s="102">
        <f t="shared" si="58"/>
        <v>0</v>
      </c>
      <c r="AN41" s="102">
        <f t="shared" si="58"/>
        <v>0</v>
      </c>
      <c r="AO41" s="102">
        <f t="shared" si="58"/>
        <v>0</v>
      </c>
      <c r="AP41" s="102">
        <f t="shared" si="58"/>
        <v>0</v>
      </c>
      <c r="AQ41" s="102"/>
      <c r="AR41" s="102"/>
      <c r="AS41" s="102"/>
      <c r="AT41" s="102"/>
      <c r="AU41" s="102"/>
      <c r="AV41" s="102"/>
      <c r="AW41" s="102"/>
      <c r="AX41" s="102"/>
      <c r="AY41" s="102"/>
      <c r="AZ41" s="102"/>
      <c r="BA41" s="102"/>
      <c r="BB41" s="102"/>
      <c r="BC41" s="102"/>
      <c r="BD41" s="102"/>
      <c r="BE41" s="102"/>
      <c r="BF41" s="102"/>
      <c r="BG41" s="102"/>
      <c r="BH41" s="102"/>
      <c r="BI41" s="102"/>
    </row>
    <row r="42" spans="1:61" s="17" customFormat="1" hidden="1" outlineLevel="1" x14ac:dyDescent="0.25">
      <c r="A42" s="16" t="str">
        <f t="shared" si="57"/>
        <v>Interest</v>
      </c>
      <c r="B42" s="101">
        <f t="shared" si="11"/>
        <v>0</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f>+AA39*(AA$9/2)</f>
        <v>0</v>
      </c>
      <c r="AB42" s="102">
        <f>+AA47*AA$9/2</f>
        <v>0</v>
      </c>
      <c r="AC42" s="102">
        <f>+AB47*AA$9/2</f>
        <v>0</v>
      </c>
      <c r="AD42" s="102">
        <f>+AC47*AA$9/2</f>
        <v>0</v>
      </c>
      <c r="AE42" s="102">
        <f>+AD47*AA$9/2</f>
        <v>0</v>
      </c>
      <c r="AF42" s="102">
        <f>+AE47*AA$9/2</f>
        <v>0</v>
      </c>
      <c r="AG42" s="102">
        <f>+AF47*AA$9/2</f>
        <v>0</v>
      </c>
      <c r="AH42" s="102">
        <f>+AG47*AA$9/2</f>
        <v>0</v>
      </c>
      <c r="AI42" s="102">
        <f>+AH47*AA$9/2</f>
        <v>0</v>
      </c>
      <c r="AJ42" s="102">
        <f>+AI47*AA$9/2</f>
        <v>0</v>
      </c>
      <c r="AK42" s="102">
        <f>+AJ47*AA$9/2</f>
        <v>0</v>
      </c>
      <c r="AL42" s="102">
        <f>+AK47*AA$9/2</f>
        <v>0</v>
      </c>
      <c r="AM42" s="102">
        <f>+AL47*AA$9/2</f>
        <v>0</v>
      </c>
      <c r="AN42" s="102">
        <f>+AM47*AA$9/2</f>
        <v>0</v>
      </c>
      <c r="AO42" s="102">
        <f>+AN47*AA$9/2</f>
        <v>0</v>
      </c>
      <c r="AP42" s="102">
        <f>+AO47*AA$9/2</f>
        <v>0</v>
      </c>
      <c r="AQ42" s="102"/>
      <c r="AR42" s="102"/>
      <c r="AS42" s="102"/>
      <c r="AT42" s="102"/>
      <c r="AU42" s="102"/>
      <c r="AV42" s="102"/>
      <c r="AW42" s="102"/>
      <c r="AX42" s="102"/>
      <c r="AY42" s="102"/>
      <c r="AZ42" s="102"/>
      <c r="BA42" s="102"/>
      <c r="BB42" s="102"/>
      <c r="BC42" s="102"/>
      <c r="BD42" s="102"/>
      <c r="BE42" s="102"/>
      <c r="BF42" s="102"/>
      <c r="BG42" s="102"/>
      <c r="BH42" s="102"/>
      <c r="BI42" s="102"/>
    </row>
    <row r="43" spans="1:61" s="17" customFormat="1" hidden="1" outlineLevel="1" x14ac:dyDescent="0.25">
      <c r="A43" s="16" t="str">
        <f t="shared" si="57"/>
        <v>Interest</v>
      </c>
      <c r="B43" s="101">
        <f t="shared" si="11"/>
        <v>0</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f>+AB46*AA$9/2</f>
        <v>0</v>
      </c>
      <c r="AC43" s="102">
        <f>+AC46*AA$9/2</f>
        <v>0</v>
      </c>
      <c r="AD43" s="102">
        <f>+AD46*AA$9/2</f>
        <v>0</v>
      </c>
      <c r="AE43" s="102">
        <f>+AE46*AA$9/2</f>
        <v>0</v>
      </c>
      <c r="AF43" s="102">
        <f>+AF46*AA$9/2</f>
        <v>0</v>
      </c>
      <c r="AG43" s="102">
        <f>+AG46*AA$9/2</f>
        <v>0</v>
      </c>
      <c r="AH43" s="102">
        <f>+AH46*AA$9/2</f>
        <v>0</v>
      </c>
      <c r="AI43" s="102">
        <f>+AI46*AA$9/2</f>
        <v>0</v>
      </c>
      <c r="AJ43" s="102">
        <f>+AJ46*AA$9/2</f>
        <v>0</v>
      </c>
      <c r="AK43" s="102">
        <f>+AK46*AA$9/2</f>
        <v>0</v>
      </c>
      <c r="AL43" s="102">
        <f>+AL46*AA$9/2</f>
        <v>0</v>
      </c>
      <c r="AM43" s="102">
        <f>+AM46*AA$9/2</f>
        <v>0</v>
      </c>
      <c r="AN43" s="102">
        <f>+AN46*AA$9/2</f>
        <v>0</v>
      </c>
      <c r="AO43" s="102">
        <f>+AO46*AA$9/2</f>
        <v>0</v>
      </c>
      <c r="AP43" s="102">
        <f>+AP46*AA$9/2</f>
        <v>0</v>
      </c>
      <c r="AQ43" s="102"/>
      <c r="AR43" s="102"/>
      <c r="AS43" s="102"/>
      <c r="AT43" s="102"/>
      <c r="AU43" s="102"/>
      <c r="AV43" s="102"/>
      <c r="AW43" s="102"/>
      <c r="AX43" s="102"/>
      <c r="AY43" s="102"/>
      <c r="AZ43" s="102"/>
      <c r="BA43" s="102"/>
      <c r="BB43" s="102"/>
      <c r="BC43" s="102"/>
      <c r="BD43" s="102"/>
      <c r="BE43" s="102"/>
      <c r="BF43" s="102"/>
      <c r="BG43" s="102"/>
      <c r="BH43" s="102"/>
      <c r="BI43" s="102"/>
    </row>
    <row r="44" spans="1:61" s="17" customFormat="1" hidden="1" outlineLevel="1" x14ac:dyDescent="0.25">
      <c r="A44" s="16" t="str">
        <f t="shared" si="57"/>
        <v xml:space="preserve">Debt Servicing </v>
      </c>
      <c r="B44" s="101">
        <f t="shared" si="11"/>
        <v>0</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f>-PMT($AA$9/2,$AA$10*2,AA39)</f>
        <v>0</v>
      </c>
      <c r="AB44" s="102">
        <f t="shared" ref="AB44:AP44" si="59">+AA44</f>
        <v>0</v>
      </c>
      <c r="AC44" s="102">
        <f t="shared" si="59"/>
        <v>0</v>
      </c>
      <c r="AD44" s="102">
        <f t="shared" si="59"/>
        <v>0</v>
      </c>
      <c r="AE44" s="102">
        <f t="shared" si="59"/>
        <v>0</v>
      </c>
      <c r="AF44" s="102">
        <f t="shared" si="59"/>
        <v>0</v>
      </c>
      <c r="AG44" s="102">
        <f t="shared" si="59"/>
        <v>0</v>
      </c>
      <c r="AH44" s="102">
        <f t="shared" si="59"/>
        <v>0</v>
      </c>
      <c r="AI44" s="102">
        <f t="shared" si="59"/>
        <v>0</v>
      </c>
      <c r="AJ44" s="102">
        <f t="shared" si="59"/>
        <v>0</v>
      </c>
      <c r="AK44" s="102">
        <f t="shared" si="59"/>
        <v>0</v>
      </c>
      <c r="AL44" s="102">
        <f t="shared" si="59"/>
        <v>0</v>
      </c>
      <c r="AM44" s="102">
        <f t="shared" si="59"/>
        <v>0</v>
      </c>
      <c r="AN44" s="102">
        <f t="shared" si="59"/>
        <v>0</v>
      </c>
      <c r="AO44" s="102">
        <f t="shared" si="59"/>
        <v>0</v>
      </c>
      <c r="AP44" s="102">
        <f t="shared" si="59"/>
        <v>0</v>
      </c>
      <c r="AQ44" s="102"/>
      <c r="AR44" s="102"/>
      <c r="AS44" s="102"/>
      <c r="AT44" s="102"/>
      <c r="AU44" s="102"/>
      <c r="AV44" s="102"/>
      <c r="AW44" s="102"/>
      <c r="AX44" s="102"/>
      <c r="AY44" s="102"/>
      <c r="AZ44" s="102"/>
      <c r="BA44" s="102"/>
      <c r="BB44" s="102"/>
      <c r="BC44" s="102"/>
      <c r="BD44" s="102"/>
      <c r="BE44" s="102"/>
      <c r="BF44" s="102"/>
      <c r="BG44" s="102"/>
      <c r="BH44" s="102"/>
      <c r="BI44" s="102"/>
    </row>
    <row r="45" spans="1:61" s="17" customFormat="1" hidden="1" outlineLevel="1" x14ac:dyDescent="0.25">
      <c r="A45" s="16" t="str">
        <f t="shared" si="57"/>
        <v xml:space="preserve">Debt Servicing </v>
      </c>
      <c r="B45" s="101">
        <f t="shared" si="11"/>
        <v>0</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f t="shared" ref="AB45:AO45" si="60">+AB44</f>
        <v>0</v>
      </c>
      <c r="AC45" s="102">
        <f t="shared" si="60"/>
        <v>0</v>
      </c>
      <c r="AD45" s="102">
        <f t="shared" si="60"/>
        <v>0</v>
      </c>
      <c r="AE45" s="102">
        <f t="shared" si="60"/>
        <v>0</v>
      </c>
      <c r="AF45" s="102">
        <f t="shared" si="60"/>
        <v>0</v>
      </c>
      <c r="AG45" s="102">
        <f t="shared" si="60"/>
        <v>0</v>
      </c>
      <c r="AH45" s="102">
        <f t="shared" si="60"/>
        <v>0</v>
      </c>
      <c r="AI45" s="102">
        <f t="shared" si="60"/>
        <v>0</v>
      </c>
      <c r="AJ45" s="102">
        <f t="shared" si="60"/>
        <v>0</v>
      </c>
      <c r="AK45" s="102">
        <f t="shared" si="60"/>
        <v>0</v>
      </c>
      <c r="AL45" s="102">
        <f t="shared" si="60"/>
        <v>0</v>
      </c>
      <c r="AM45" s="102">
        <f t="shared" si="60"/>
        <v>0</v>
      </c>
      <c r="AN45" s="102">
        <f t="shared" si="60"/>
        <v>0</v>
      </c>
      <c r="AO45" s="102">
        <f t="shared" si="60"/>
        <v>0</v>
      </c>
      <c r="AP45" s="102"/>
      <c r="AQ45" s="102"/>
      <c r="AR45" s="102"/>
      <c r="AS45" s="102"/>
      <c r="AT45" s="102"/>
      <c r="AU45" s="102"/>
      <c r="AV45" s="102"/>
      <c r="AW45" s="102"/>
      <c r="AX45" s="102"/>
      <c r="AY45" s="102"/>
      <c r="AZ45" s="102"/>
      <c r="BA45" s="102"/>
      <c r="BB45" s="102"/>
      <c r="BC45" s="102"/>
      <c r="BD45" s="102"/>
      <c r="BE45" s="102"/>
      <c r="BF45" s="102"/>
      <c r="BG45" s="102"/>
      <c r="BH45" s="102"/>
      <c r="BI45" s="102"/>
    </row>
    <row r="46" spans="1:61" s="17" customFormat="1" hidden="1" outlineLevel="1" x14ac:dyDescent="0.25">
      <c r="A46" s="16" t="str">
        <f t="shared" si="57"/>
        <v>Balance mid year</v>
      </c>
      <c r="B46" s="101">
        <f t="shared" si="11"/>
        <v>0</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v>0</v>
      </c>
      <c r="AB46" s="102">
        <f t="shared" ref="AB46:AP46" si="61">+AA47-AB40</f>
        <v>0</v>
      </c>
      <c r="AC46" s="102">
        <f t="shared" si="61"/>
        <v>0</v>
      </c>
      <c r="AD46" s="102">
        <f t="shared" si="61"/>
        <v>0</v>
      </c>
      <c r="AE46" s="102">
        <f t="shared" si="61"/>
        <v>0</v>
      </c>
      <c r="AF46" s="102">
        <f t="shared" si="61"/>
        <v>0</v>
      </c>
      <c r="AG46" s="102">
        <f t="shared" si="61"/>
        <v>0</v>
      </c>
      <c r="AH46" s="102">
        <f t="shared" si="61"/>
        <v>0</v>
      </c>
      <c r="AI46" s="102">
        <f t="shared" si="61"/>
        <v>0</v>
      </c>
      <c r="AJ46" s="102">
        <f t="shared" si="61"/>
        <v>0</v>
      </c>
      <c r="AK46" s="102">
        <f t="shared" si="61"/>
        <v>0</v>
      </c>
      <c r="AL46" s="102">
        <f t="shared" si="61"/>
        <v>0</v>
      </c>
      <c r="AM46" s="102">
        <f t="shared" si="61"/>
        <v>0</v>
      </c>
      <c r="AN46" s="102">
        <f t="shared" si="61"/>
        <v>0</v>
      </c>
      <c r="AO46" s="102">
        <f t="shared" si="61"/>
        <v>0</v>
      </c>
      <c r="AP46" s="102">
        <f t="shared" si="61"/>
        <v>0</v>
      </c>
      <c r="AQ46" s="102"/>
      <c r="AR46" s="102"/>
      <c r="AS46" s="102"/>
      <c r="AT46" s="102"/>
      <c r="AU46" s="102"/>
      <c r="AV46" s="102"/>
      <c r="AW46" s="102"/>
      <c r="AX46" s="102"/>
      <c r="AY46" s="102"/>
      <c r="AZ46" s="102"/>
      <c r="BA46" s="102"/>
      <c r="BB46" s="102"/>
      <c r="BC46" s="102"/>
      <c r="BD46" s="102"/>
      <c r="BE46" s="102"/>
      <c r="BF46" s="102"/>
      <c r="BG46" s="102"/>
      <c r="BH46" s="102"/>
      <c r="BI46" s="102"/>
    </row>
    <row r="47" spans="1:61" s="17" customFormat="1" hidden="1" outlineLevel="1" x14ac:dyDescent="0.25">
      <c r="A47" s="16" t="str">
        <f t="shared" si="57"/>
        <v>Balance</v>
      </c>
      <c r="B47" s="101">
        <f t="shared" si="11"/>
        <v>0</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f>+AA39-AA40</f>
        <v>0</v>
      </c>
      <c r="AB47" s="102">
        <f t="shared" ref="AB47:AP47" si="62">+AB46-AB41</f>
        <v>0</v>
      </c>
      <c r="AC47" s="102">
        <f t="shared" si="62"/>
        <v>0</v>
      </c>
      <c r="AD47" s="102">
        <f t="shared" si="62"/>
        <v>0</v>
      </c>
      <c r="AE47" s="102">
        <f t="shared" si="62"/>
        <v>0</v>
      </c>
      <c r="AF47" s="102">
        <f t="shared" si="62"/>
        <v>0</v>
      </c>
      <c r="AG47" s="102">
        <f t="shared" si="62"/>
        <v>0</v>
      </c>
      <c r="AH47" s="102">
        <f t="shared" si="62"/>
        <v>0</v>
      </c>
      <c r="AI47" s="102">
        <f t="shared" si="62"/>
        <v>0</v>
      </c>
      <c r="AJ47" s="102">
        <f t="shared" si="62"/>
        <v>0</v>
      </c>
      <c r="AK47" s="102">
        <f t="shared" si="62"/>
        <v>0</v>
      </c>
      <c r="AL47" s="102">
        <f t="shared" si="62"/>
        <v>0</v>
      </c>
      <c r="AM47" s="102">
        <f t="shared" si="62"/>
        <v>0</v>
      </c>
      <c r="AN47" s="102">
        <f t="shared" si="62"/>
        <v>0</v>
      </c>
      <c r="AO47" s="102">
        <f t="shared" si="62"/>
        <v>0</v>
      </c>
      <c r="AP47" s="102">
        <f t="shared" si="62"/>
        <v>0</v>
      </c>
      <c r="AQ47" s="102"/>
      <c r="AR47" s="102"/>
      <c r="AS47" s="102"/>
      <c r="AT47" s="102"/>
      <c r="AU47" s="102"/>
      <c r="AV47" s="102"/>
      <c r="AW47" s="102"/>
      <c r="AX47" s="102"/>
      <c r="AY47" s="102"/>
      <c r="AZ47" s="102"/>
      <c r="BA47" s="102"/>
      <c r="BB47" s="102"/>
      <c r="BC47" s="102"/>
      <c r="BD47" s="102"/>
      <c r="BE47" s="102"/>
      <c r="BF47" s="102"/>
      <c r="BG47" s="102"/>
      <c r="BH47" s="102"/>
      <c r="BI47" s="102"/>
    </row>
    <row r="48" spans="1:61" s="17" customFormat="1" hidden="1" outlineLevel="1" x14ac:dyDescent="0.25">
      <c r="A48" s="16"/>
      <c r="B48" s="10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row>
    <row r="49" spans="1:61" hidden="1" outlineLevel="1" x14ac:dyDescent="0.25">
      <c r="A49" s="20" t="str">
        <f t="shared" ref="A49:A57" si="63">A39</f>
        <v>Debt Forecasted</v>
      </c>
      <c r="B49" s="101">
        <f t="shared" ref="B49:B133" si="64">SUM(C49:BB49)</f>
        <v>0</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f>+AB$8</f>
        <v>0</v>
      </c>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row>
    <row r="50" spans="1:61" s="17" customFormat="1" hidden="1" outlineLevel="1" x14ac:dyDescent="0.25">
      <c r="A50" s="16" t="str">
        <f t="shared" si="63"/>
        <v>Principal</v>
      </c>
      <c r="B50" s="101">
        <f t="shared" si="64"/>
        <v>0</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f>+AB54-AB52</f>
        <v>0</v>
      </c>
      <c r="AC50" s="102">
        <f>+AC54-AC52</f>
        <v>0</v>
      </c>
      <c r="AD50" s="102">
        <f t="shared" ref="AD50:AQ51" si="65">+AD54-AD52</f>
        <v>0</v>
      </c>
      <c r="AE50" s="102">
        <f t="shared" si="65"/>
        <v>0</v>
      </c>
      <c r="AF50" s="102">
        <f t="shared" si="65"/>
        <v>0</v>
      </c>
      <c r="AG50" s="102">
        <f t="shared" si="65"/>
        <v>0</v>
      </c>
      <c r="AH50" s="102">
        <f t="shared" si="65"/>
        <v>0</v>
      </c>
      <c r="AI50" s="102">
        <f t="shared" si="65"/>
        <v>0</v>
      </c>
      <c r="AJ50" s="102">
        <f t="shared" si="65"/>
        <v>0</v>
      </c>
      <c r="AK50" s="102">
        <f t="shared" si="65"/>
        <v>0</v>
      </c>
      <c r="AL50" s="102">
        <f t="shared" si="65"/>
        <v>0</v>
      </c>
      <c r="AM50" s="102">
        <f t="shared" si="65"/>
        <v>0</v>
      </c>
      <c r="AN50" s="102">
        <f t="shared" si="65"/>
        <v>0</v>
      </c>
      <c r="AO50" s="102">
        <f t="shared" si="65"/>
        <v>0</v>
      </c>
      <c r="AP50" s="102">
        <f t="shared" si="65"/>
        <v>0</v>
      </c>
      <c r="AQ50" s="102">
        <f t="shared" si="65"/>
        <v>0</v>
      </c>
      <c r="AR50" s="102"/>
      <c r="AS50" s="102"/>
      <c r="AT50" s="102"/>
      <c r="AU50" s="102"/>
      <c r="AV50" s="102"/>
      <c r="AW50" s="102"/>
      <c r="AX50" s="102"/>
      <c r="AY50" s="102"/>
      <c r="AZ50" s="102"/>
      <c r="BA50" s="102"/>
      <c r="BB50" s="102"/>
      <c r="BC50" s="102"/>
      <c r="BD50" s="102"/>
      <c r="BE50" s="102"/>
      <c r="BF50" s="102"/>
      <c r="BG50" s="102"/>
      <c r="BH50" s="102"/>
      <c r="BI50" s="102"/>
    </row>
    <row r="51" spans="1:61" s="17" customFormat="1" hidden="1" outlineLevel="1" x14ac:dyDescent="0.25">
      <c r="A51" s="16" t="str">
        <f t="shared" si="63"/>
        <v>Principal</v>
      </c>
      <c r="B51" s="101">
        <f t="shared" si="64"/>
        <v>0</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f>+AC55-AC53</f>
        <v>0</v>
      </c>
      <c r="AD51" s="102">
        <f t="shared" si="65"/>
        <v>0</v>
      </c>
      <c r="AE51" s="102">
        <f t="shared" si="65"/>
        <v>0</v>
      </c>
      <c r="AF51" s="102">
        <f t="shared" si="65"/>
        <v>0</v>
      </c>
      <c r="AG51" s="102">
        <f t="shared" si="65"/>
        <v>0</v>
      </c>
      <c r="AH51" s="102">
        <f t="shared" si="65"/>
        <v>0</v>
      </c>
      <c r="AI51" s="102">
        <f t="shared" si="65"/>
        <v>0</v>
      </c>
      <c r="AJ51" s="102">
        <f t="shared" si="65"/>
        <v>0</v>
      </c>
      <c r="AK51" s="102">
        <f t="shared" si="65"/>
        <v>0</v>
      </c>
      <c r="AL51" s="102">
        <f t="shared" si="65"/>
        <v>0</v>
      </c>
      <c r="AM51" s="102">
        <f t="shared" si="65"/>
        <v>0</v>
      </c>
      <c r="AN51" s="102">
        <f t="shared" si="65"/>
        <v>0</v>
      </c>
      <c r="AO51" s="102">
        <f t="shared" si="65"/>
        <v>0</v>
      </c>
      <c r="AP51" s="102">
        <f t="shared" si="65"/>
        <v>0</v>
      </c>
      <c r="AQ51" s="102">
        <f t="shared" si="65"/>
        <v>0</v>
      </c>
      <c r="AR51" s="102"/>
      <c r="AS51" s="102"/>
      <c r="AT51" s="102"/>
      <c r="AU51" s="102"/>
      <c r="AV51" s="102"/>
      <c r="AW51" s="102"/>
      <c r="AX51" s="102"/>
      <c r="AY51" s="102"/>
      <c r="AZ51" s="102"/>
      <c r="BA51" s="102"/>
      <c r="BB51" s="102"/>
      <c r="BC51" s="102"/>
      <c r="BD51" s="102"/>
      <c r="BE51" s="102"/>
      <c r="BF51" s="102"/>
      <c r="BG51" s="102"/>
      <c r="BH51" s="102"/>
      <c r="BI51" s="102"/>
    </row>
    <row r="52" spans="1:61" s="17" customFormat="1" hidden="1" outlineLevel="1" x14ac:dyDescent="0.25">
      <c r="A52" s="16" t="str">
        <f t="shared" si="63"/>
        <v>Interest</v>
      </c>
      <c r="B52" s="101">
        <f t="shared" si="64"/>
        <v>0</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f>+AB49*(AB$9/2)</f>
        <v>0</v>
      </c>
      <c r="AC52" s="102">
        <f>+AB57*AB$9/2</f>
        <v>0</v>
      </c>
      <c r="AD52" s="102">
        <f>+AC57*AB$9/2</f>
        <v>0</v>
      </c>
      <c r="AE52" s="102">
        <f>+AD57*AB$9/2</f>
        <v>0</v>
      </c>
      <c r="AF52" s="102">
        <f>+AE57*AB$9/2</f>
        <v>0</v>
      </c>
      <c r="AG52" s="102">
        <f>+AF57*AB$9/2</f>
        <v>0</v>
      </c>
      <c r="AH52" s="102">
        <f>+AG57*AB$9/2</f>
        <v>0</v>
      </c>
      <c r="AI52" s="102">
        <f>+AH57*AB$9/2</f>
        <v>0</v>
      </c>
      <c r="AJ52" s="102">
        <f>+AI57*AB$9/2</f>
        <v>0</v>
      </c>
      <c r="AK52" s="102">
        <f>+AJ57*AB$9/2</f>
        <v>0</v>
      </c>
      <c r="AL52" s="102">
        <f>+AK57*AB$9/2</f>
        <v>0</v>
      </c>
      <c r="AM52" s="102">
        <f>+AL57*AB$9/2</f>
        <v>0</v>
      </c>
      <c r="AN52" s="102">
        <f>+AM57*AB$9/2</f>
        <v>0</v>
      </c>
      <c r="AO52" s="102">
        <f>+AN57*AB$9/2</f>
        <v>0</v>
      </c>
      <c r="AP52" s="102">
        <f>+AO57*AB$9/2</f>
        <v>0</v>
      </c>
      <c r="AQ52" s="102">
        <f>+AP57*AB$9/2</f>
        <v>0</v>
      </c>
      <c r="AR52" s="102"/>
      <c r="AS52" s="102"/>
      <c r="AT52" s="102"/>
      <c r="AU52" s="102"/>
      <c r="AV52" s="102"/>
      <c r="AW52" s="102"/>
      <c r="AX52" s="102"/>
      <c r="AY52" s="102"/>
      <c r="AZ52" s="102"/>
      <c r="BA52" s="102"/>
      <c r="BB52" s="102"/>
      <c r="BC52" s="102"/>
      <c r="BD52" s="102"/>
      <c r="BE52" s="102"/>
      <c r="BF52" s="102"/>
      <c r="BG52" s="102"/>
      <c r="BH52" s="102"/>
      <c r="BI52" s="102"/>
    </row>
    <row r="53" spans="1:61" s="17" customFormat="1" hidden="1" outlineLevel="1" x14ac:dyDescent="0.25">
      <c r="A53" s="16" t="str">
        <f t="shared" si="63"/>
        <v>Interest</v>
      </c>
      <c r="B53" s="101">
        <f t="shared" si="64"/>
        <v>0</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f>+AC56*AB$9/2</f>
        <v>0</v>
      </c>
      <c r="AD53" s="102">
        <f>+AD56*AB$9/2</f>
        <v>0</v>
      </c>
      <c r="AE53" s="102">
        <f>+AE56*AB$9/2</f>
        <v>0</v>
      </c>
      <c r="AF53" s="102">
        <f>+AF56*AB$9/2</f>
        <v>0</v>
      </c>
      <c r="AG53" s="102">
        <f>+AG56*AB$9/2</f>
        <v>0</v>
      </c>
      <c r="AH53" s="102">
        <f>+AH56*AB$9/2</f>
        <v>0</v>
      </c>
      <c r="AI53" s="102">
        <f>+AI56*AB$9/2</f>
        <v>0</v>
      </c>
      <c r="AJ53" s="102">
        <f>+AJ56*AB$9/2</f>
        <v>0</v>
      </c>
      <c r="AK53" s="102">
        <f>+AK56*AB$9/2</f>
        <v>0</v>
      </c>
      <c r="AL53" s="102">
        <f>+AL56*AB$9/2</f>
        <v>0</v>
      </c>
      <c r="AM53" s="102">
        <f>+AM56*AB$9/2</f>
        <v>0</v>
      </c>
      <c r="AN53" s="102">
        <f>+AN56*AB$9/2</f>
        <v>0</v>
      </c>
      <c r="AO53" s="102">
        <f>+AO56*AB$9/2</f>
        <v>0</v>
      </c>
      <c r="AP53" s="102">
        <f>+AP56*AB$9/2</f>
        <v>0</v>
      </c>
      <c r="AQ53" s="102">
        <f>+AQ56*AB$9/2</f>
        <v>0</v>
      </c>
      <c r="AR53" s="102"/>
      <c r="AS53" s="102"/>
      <c r="AT53" s="102"/>
      <c r="AU53" s="102"/>
      <c r="AV53" s="102"/>
      <c r="AW53" s="102"/>
      <c r="AX53" s="102"/>
      <c r="AY53" s="102"/>
      <c r="AZ53" s="102"/>
      <c r="BA53" s="102"/>
      <c r="BB53" s="102"/>
      <c r="BC53" s="102"/>
      <c r="BD53" s="102"/>
      <c r="BE53" s="102"/>
      <c r="BF53" s="102"/>
      <c r="BG53" s="102"/>
      <c r="BH53" s="102"/>
      <c r="BI53" s="102"/>
    </row>
    <row r="54" spans="1:61" s="17" customFormat="1" hidden="1" outlineLevel="1" x14ac:dyDescent="0.25">
      <c r="A54" s="16" t="str">
        <f t="shared" si="63"/>
        <v xml:space="preserve">Debt Servicing </v>
      </c>
      <c r="B54" s="101">
        <f t="shared" si="64"/>
        <v>0</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f>-PMT($AB$9/2,$AB$10*2,AB49)</f>
        <v>0</v>
      </c>
      <c r="AC54" s="102">
        <f t="shared" ref="AC54:AQ54" si="66">+AB54</f>
        <v>0</v>
      </c>
      <c r="AD54" s="102">
        <f t="shared" si="66"/>
        <v>0</v>
      </c>
      <c r="AE54" s="102">
        <f t="shared" si="66"/>
        <v>0</v>
      </c>
      <c r="AF54" s="102">
        <f t="shared" si="66"/>
        <v>0</v>
      </c>
      <c r="AG54" s="102">
        <f t="shared" si="66"/>
        <v>0</v>
      </c>
      <c r="AH54" s="102">
        <f t="shared" si="66"/>
        <v>0</v>
      </c>
      <c r="AI54" s="102">
        <f t="shared" si="66"/>
        <v>0</v>
      </c>
      <c r="AJ54" s="102">
        <f t="shared" si="66"/>
        <v>0</v>
      </c>
      <c r="AK54" s="102">
        <f t="shared" si="66"/>
        <v>0</v>
      </c>
      <c r="AL54" s="102">
        <f t="shared" si="66"/>
        <v>0</v>
      </c>
      <c r="AM54" s="102">
        <f t="shared" si="66"/>
        <v>0</v>
      </c>
      <c r="AN54" s="102">
        <f t="shared" si="66"/>
        <v>0</v>
      </c>
      <c r="AO54" s="102">
        <f t="shared" si="66"/>
        <v>0</v>
      </c>
      <c r="AP54" s="102">
        <f t="shared" si="66"/>
        <v>0</v>
      </c>
      <c r="AQ54" s="102">
        <f t="shared" si="66"/>
        <v>0</v>
      </c>
      <c r="AR54" s="102"/>
      <c r="AS54" s="102"/>
      <c r="AT54" s="102"/>
      <c r="AU54" s="102"/>
      <c r="AV54" s="102"/>
      <c r="AW54" s="102"/>
      <c r="AX54" s="102"/>
      <c r="AY54" s="102"/>
      <c r="AZ54" s="102"/>
      <c r="BA54" s="102"/>
      <c r="BB54" s="102"/>
      <c r="BC54" s="102"/>
      <c r="BD54" s="102"/>
      <c r="BE54" s="102"/>
      <c r="BF54" s="102"/>
      <c r="BG54" s="102"/>
      <c r="BH54" s="102"/>
      <c r="BI54" s="102"/>
    </row>
    <row r="55" spans="1:61" s="17" customFormat="1" hidden="1" outlineLevel="1" x14ac:dyDescent="0.25">
      <c r="A55" s="16" t="str">
        <f t="shared" si="63"/>
        <v xml:space="preserve">Debt Servicing </v>
      </c>
      <c r="B55" s="101">
        <f t="shared" si="64"/>
        <v>0</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f t="shared" ref="AC55:AP55" si="67">+AC54</f>
        <v>0</v>
      </c>
      <c r="AD55" s="102">
        <f t="shared" si="67"/>
        <v>0</v>
      </c>
      <c r="AE55" s="102">
        <f t="shared" si="67"/>
        <v>0</v>
      </c>
      <c r="AF55" s="102">
        <f t="shared" si="67"/>
        <v>0</v>
      </c>
      <c r="AG55" s="102">
        <f t="shared" si="67"/>
        <v>0</v>
      </c>
      <c r="AH55" s="102">
        <f t="shared" si="67"/>
        <v>0</v>
      </c>
      <c r="AI55" s="102">
        <f t="shared" si="67"/>
        <v>0</v>
      </c>
      <c r="AJ55" s="102">
        <f t="shared" si="67"/>
        <v>0</v>
      </c>
      <c r="AK55" s="102">
        <f t="shared" si="67"/>
        <v>0</v>
      </c>
      <c r="AL55" s="102">
        <f t="shared" si="67"/>
        <v>0</v>
      </c>
      <c r="AM55" s="102">
        <f t="shared" si="67"/>
        <v>0</v>
      </c>
      <c r="AN55" s="102">
        <f t="shared" si="67"/>
        <v>0</v>
      </c>
      <c r="AO55" s="102">
        <f t="shared" si="67"/>
        <v>0</v>
      </c>
      <c r="AP55" s="102">
        <f t="shared" si="67"/>
        <v>0</v>
      </c>
      <c r="AQ55" s="102"/>
      <c r="AR55" s="102"/>
      <c r="AS55" s="102"/>
      <c r="AT55" s="102"/>
      <c r="AU55" s="102"/>
      <c r="AV55" s="102"/>
      <c r="AW55" s="102"/>
      <c r="AX55" s="102"/>
      <c r="AY55" s="102"/>
      <c r="AZ55" s="102"/>
      <c r="BA55" s="102"/>
      <c r="BB55" s="102"/>
      <c r="BC55" s="102"/>
      <c r="BD55" s="102"/>
      <c r="BE55" s="102"/>
      <c r="BF55" s="102"/>
      <c r="BG55" s="102"/>
      <c r="BH55" s="102"/>
      <c r="BI55" s="102"/>
    </row>
    <row r="56" spans="1:61" s="17" customFormat="1" hidden="1" outlineLevel="1" x14ac:dyDescent="0.25">
      <c r="A56" s="16" t="str">
        <f t="shared" si="63"/>
        <v>Balance mid year</v>
      </c>
      <c r="B56" s="101">
        <f t="shared" si="64"/>
        <v>0</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v>0</v>
      </c>
      <c r="AC56" s="102">
        <f t="shared" ref="AC56:AQ56" si="68">+AB57-AC50</f>
        <v>0</v>
      </c>
      <c r="AD56" s="102">
        <f t="shared" si="68"/>
        <v>0</v>
      </c>
      <c r="AE56" s="102">
        <f t="shared" si="68"/>
        <v>0</v>
      </c>
      <c r="AF56" s="102">
        <f t="shared" si="68"/>
        <v>0</v>
      </c>
      <c r="AG56" s="102">
        <f t="shared" si="68"/>
        <v>0</v>
      </c>
      <c r="AH56" s="102">
        <f t="shared" si="68"/>
        <v>0</v>
      </c>
      <c r="AI56" s="102">
        <f t="shared" si="68"/>
        <v>0</v>
      </c>
      <c r="AJ56" s="102">
        <f t="shared" si="68"/>
        <v>0</v>
      </c>
      <c r="AK56" s="102">
        <f t="shared" si="68"/>
        <v>0</v>
      </c>
      <c r="AL56" s="102">
        <f t="shared" si="68"/>
        <v>0</v>
      </c>
      <c r="AM56" s="102">
        <f t="shared" si="68"/>
        <v>0</v>
      </c>
      <c r="AN56" s="102">
        <f t="shared" si="68"/>
        <v>0</v>
      </c>
      <c r="AO56" s="102">
        <f t="shared" si="68"/>
        <v>0</v>
      </c>
      <c r="AP56" s="102">
        <f t="shared" si="68"/>
        <v>0</v>
      </c>
      <c r="AQ56" s="102">
        <f t="shared" si="68"/>
        <v>0</v>
      </c>
      <c r="AR56" s="102"/>
      <c r="AS56" s="102"/>
      <c r="AT56" s="102"/>
      <c r="AU56" s="102"/>
      <c r="AV56" s="102"/>
      <c r="AW56" s="102"/>
      <c r="AX56" s="102"/>
      <c r="AY56" s="102"/>
      <c r="AZ56" s="102"/>
      <c r="BA56" s="102"/>
      <c r="BB56" s="102"/>
      <c r="BC56" s="102"/>
      <c r="BD56" s="102"/>
      <c r="BE56" s="102"/>
      <c r="BF56" s="102"/>
      <c r="BG56" s="102"/>
      <c r="BH56" s="102"/>
      <c r="BI56" s="102"/>
    </row>
    <row r="57" spans="1:61" s="17" customFormat="1" hidden="1" outlineLevel="1" x14ac:dyDescent="0.25">
      <c r="A57" s="16" t="str">
        <f t="shared" si="63"/>
        <v>Balance</v>
      </c>
      <c r="B57" s="101">
        <f t="shared" si="64"/>
        <v>0</v>
      </c>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f>+AB49-AB50</f>
        <v>0</v>
      </c>
      <c r="AC57" s="102">
        <f t="shared" ref="AC57:AQ57" si="69">+AC56-AC51</f>
        <v>0</v>
      </c>
      <c r="AD57" s="102">
        <f t="shared" si="69"/>
        <v>0</v>
      </c>
      <c r="AE57" s="102">
        <f t="shared" si="69"/>
        <v>0</v>
      </c>
      <c r="AF57" s="102">
        <f t="shared" si="69"/>
        <v>0</v>
      </c>
      <c r="AG57" s="102">
        <f t="shared" si="69"/>
        <v>0</v>
      </c>
      <c r="AH57" s="102">
        <f t="shared" si="69"/>
        <v>0</v>
      </c>
      <c r="AI57" s="102">
        <f t="shared" si="69"/>
        <v>0</v>
      </c>
      <c r="AJ57" s="102">
        <f t="shared" si="69"/>
        <v>0</v>
      </c>
      <c r="AK57" s="102">
        <f t="shared" si="69"/>
        <v>0</v>
      </c>
      <c r="AL57" s="102">
        <f t="shared" si="69"/>
        <v>0</v>
      </c>
      <c r="AM57" s="102">
        <f t="shared" si="69"/>
        <v>0</v>
      </c>
      <c r="AN57" s="102">
        <f t="shared" si="69"/>
        <v>0</v>
      </c>
      <c r="AO57" s="102">
        <f t="shared" si="69"/>
        <v>0</v>
      </c>
      <c r="AP57" s="102">
        <f t="shared" si="69"/>
        <v>0</v>
      </c>
      <c r="AQ57" s="102">
        <f t="shared" si="69"/>
        <v>0</v>
      </c>
      <c r="AR57" s="102"/>
      <c r="AS57" s="102"/>
      <c r="AT57" s="102"/>
      <c r="AU57" s="102"/>
      <c r="AV57" s="102"/>
      <c r="AW57" s="102"/>
      <c r="AX57" s="102"/>
      <c r="AY57" s="102"/>
      <c r="AZ57" s="102"/>
      <c r="BA57" s="102"/>
      <c r="BB57" s="102"/>
      <c r="BC57" s="102"/>
      <c r="BD57" s="102"/>
      <c r="BE57" s="102"/>
      <c r="BF57" s="102"/>
      <c r="BG57" s="102"/>
      <c r="BH57" s="102"/>
      <c r="BI57" s="102"/>
    </row>
    <row r="58" spans="1:61" s="17" customFormat="1" hidden="1" outlineLevel="1" x14ac:dyDescent="0.25">
      <c r="A58" s="16"/>
      <c r="B58" s="101">
        <f t="shared" si="64"/>
        <v>0</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row>
    <row r="59" spans="1:61" hidden="1" outlineLevel="1" x14ac:dyDescent="0.25">
      <c r="A59" s="20" t="str">
        <f t="shared" ref="A59:A67" si="70">A49</f>
        <v>Debt Forecasted</v>
      </c>
      <c r="B59" s="101">
        <f t="shared" si="64"/>
        <v>0</v>
      </c>
      <c r="C59" s="102">
        <v>0</v>
      </c>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f>+AC$8</f>
        <v>0</v>
      </c>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row>
    <row r="60" spans="1:61" s="17" customFormat="1" hidden="1" outlineLevel="1" x14ac:dyDescent="0.25">
      <c r="A60" s="16" t="str">
        <f t="shared" si="70"/>
        <v>Principal</v>
      </c>
      <c r="B60" s="101">
        <f t="shared" si="64"/>
        <v>0</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f>+AC64-AC62</f>
        <v>0</v>
      </c>
      <c r="AD60" s="102">
        <f>+AD64-AD62</f>
        <v>0</v>
      </c>
      <c r="AE60" s="102">
        <f t="shared" ref="AE60:AR61" si="71">+AE64-AE62</f>
        <v>0</v>
      </c>
      <c r="AF60" s="102">
        <f t="shared" si="71"/>
        <v>0</v>
      </c>
      <c r="AG60" s="102">
        <f t="shared" si="71"/>
        <v>0</v>
      </c>
      <c r="AH60" s="102">
        <f t="shared" si="71"/>
        <v>0</v>
      </c>
      <c r="AI60" s="102">
        <f t="shared" si="71"/>
        <v>0</v>
      </c>
      <c r="AJ60" s="102">
        <f t="shared" si="71"/>
        <v>0</v>
      </c>
      <c r="AK60" s="102">
        <f t="shared" si="71"/>
        <v>0</v>
      </c>
      <c r="AL60" s="102">
        <f t="shared" si="71"/>
        <v>0</v>
      </c>
      <c r="AM60" s="102">
        <f t="shared" si="71"/>
        <v>0</v>
      </c>
      <c r="AN60" s="102">
        <f t="shared" si="71"/>
        <v>0</v>
      </c>
      <c r="AO60" s="102">
        <f t="shared" si="71"/>
        <v>0</v>
      </c>
      <c r="AP60" s="102">
        <f t="shared" si="71"/>
        <v>0</v>
      </c>
      <c r="AQ60" s="102">
        <f t="shared" si="71"/>
        <v>0</v>
      </c>
      <c r="AR60" s="102">
        <f t="shared" si="71"/>
        <v>0</v>
      </c>
      <c r="AS60" s="102"/>
      <c r="AT60" s="102"/>
      <c r="AU60" s="102"/>
      <c r="AV60" s="102"/>
      <c r="AW60" s="102"/>
      <c r="AX60" s="102"/>
      <c r="AY60" s="102"/>
      <c r="AZ60" s="102"/>
      <c r="BA60" s="102"/>
      <c r="BB60" s="102"/>
      <c r="BC60" s="102"/>
      <c r="BD60" s="102"/>
      <c r="BE60" s="102"/>
      <c r="BF60" s="102"/>
      <c r="BG60" s="102"/>
      <c r="BH60" s="102"/>
      <c r="BI60" s="102"/>
    </row>
    <row r="61" spans="1:61" s="17" customFormat="1" hidden="1" outlineLevel="1" x14ac:dyDescent="0.25">
      <c r="A61" s="16" t="str">
        <f t="shared" si="70"/>
        <v>Principal</v>
      </c>
      <c r="B61" s="101">
        <f t="shared" si="64"/>
        <v>0</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f>+AD65-AD63</f>
        <v>0</v>
      </c>
      <c r="AE61" s="102">
        <f t="shared" si="71"/>
        <v>0</v>
      </c>
      <c r="AF61" s="102">
        <f t="shared" si="71"/>
        <v>0</v>
      </c>
      <c r="AG61" s="102">
        <f t="shared" si="71"/>
        <v>0</v>
      </c>
      <c r="AH61" s="102">
        <f t="shared" si="71"/>
        <v>0</v>
      </c>
      <c r="AI61" s="102">
        <f t="shared" si="71"/>
        <v>0</v>
      </c>
      <c r="AJ61" s="102">
        <f t="shared" si="71"/>
        <v>0</v>
      </c>
      <c r="AK61" s="102">
        <f t="shared" si="71"/>
        <v>0</v>
      </c>
      <c r="AL61" s="102">
        <f t="shared" si="71"/>
        <v>0</v>
      </c>
      <c r="AM61" s="102">
        <f t="shared" si="71"/>
        <v>0</v>
      </c>
      <c r="AN61" s="102">
        <f t="shared" si="71"/>
        <v>0</v>
      </c>
      <c r="AO61" s="102">
        <f t="shared" si="71"/>
        <v>0</v>
      </c>
      <c r="AP61" s="102">
        <f t="shared" si="71"/>
        <v>0</v>
      </c>
      <c r="AQ61" s="102">
        <f t="shared" si="71"/>
        <v>0</v>
      </c>
      <c r="AR61" s="102">
        <f t="shared" si="71"/>
        <v>0</v>
      </c>
      <c r="AS61" s="102"/>
      <c r="AT61" s="102"/>
      <c r="AU61" s="102"/>
      <c r="AV61" s="102"/>
      <c r="AW61" s="102"/>
      <c r="AX61" s="102"/>
      <c r="AY61" s="102"/>
      <c r="AZ61" s="102"/>
      <c r="BA61" s="102"/>
      <c r="BB61" s="102"/>
      <c r="BC61" s="102"/>
      <c r="BD61" s="102"/>
      <c r="BE61" s="102"/>
      <c r="BF61" s="102"/>
      <c r="BG61" s="102"/>
      <c r="BH61" s="102"/>
      <c r="BI61" s="102"/>
    </row>
    <row r="62" spans="1:61" s="17" customFormat="1" hidden="1" outlineLevel="1" x14ac:dyDescent="0.25">
      <c r="A62" s="16" t="str">
        <f t="shared" si="70"/>
        <v>Interest</v>
      </c>
      <c r="B62" s="101">
        <f t="shared" si="64"/>
        <v>0</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f>+AC59*(AC$9/2)</f>
        <v>0</v>
      </c>
      <c r="AD62" s="102">
        <f>+AC67*AC$9/2</f>
        <v>0</v>
      </c>
      <c r="AE62" s="102">
        <f>+AD67*AC$9/2</f>
        <v>0</v>
      </c>
      <c r="AF62" s="102">
        <f>+AE67*AC$9/2</f>
        <v>0</v>
      </c>
      <c r="AG62" s="102">
        <f>+AF67*AC$9/2</f>
        <v>0</v>
      </c>
      <c r="AH62" s="102">
        <f>+AG67*AC$9/2</f>
        <v>0</v>
      </c>
      <c r="AI62" s="102">
        <f>+AH67*AC$9/2</f>
        <v>0</v>
      </c>
      <c r="AJ62" s="102">
        <f>+AI67*AC$9/2</f>
        <v>0</v>
      </c>
      <c r="AK62" s="102">
        <f>+AJ67*AC$9/2</f>
        <v>0</v>
      </c>
      <c r="AL62" s="102">
        <f>+AK67*AC$9/2</f>
        <v>0</v>
      </c>
      <c r="AM62" s="102">
        <f>+AL67*AC$9/2</f>
        <v>0</v>
      </c>
      <c r="AN62" s="102">
        <f>+AM67*AC$9/2</f>
        <v>0</v>
      </c>
      <c r="AO62" s="102">
        <f>+AN67*AC$9/2</f>
        <v>0</v>
      </c>
      <c r="AP62" s="102">
        <f>+AO67*AC$9/2</f>
        <v>0</v>
      </c>
      <c r="AQ62" s="102">
        <f>+AP67*AC$9/2</f>
        <v>0</v>
      </c>
      <c r="AR62" s="102">
        <f>+AQ67*AC$9/2</f>
        <v>0</v>
      </c>
      <c r="AS62" s="102"/>
      <c r="AT62" s="102"/>
      <c r="AU62" s="102"/>
      <c r="AV62" s="102"/>
      <c r="AW62" s="102"/>
      <c r="AX62" s="102"/>
      <c r="AY62" s="102"/>
      <c r="AZ62" s="102"/>
      <c r="BA62" s="102"/>
      <c r="BB62" s="102"/>
      <c r="BC62" s="102"/>
      <c r="BD62" s="102"/>
      <c r="BE62" s="102"/>
      <c r="BF62" s="102"/>
      <c r="BG62" s="102"/>
      <c r="BH62" s="102"/>
      <c r="BI62" s="102"/>
    </row>
    <row r="63" spans="1:61" s="17" customFormat="1" hidden="1" outlineLevel="1" x14ac:dyDescent="0.25">
      <c r="A63" s="16" t="str">
        <f t="shared" si="70"/>
        <v>Interest</v>
      </c>
      <c r="B63" s="101">
        <f t="shared" si="64"/>
        <v>0</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f>+AD66*AC$9/2</f>
        <v>0</v>
      </c>
      <c r="AE63" s="102">
        <f>+AE66*AC$9/2</f>
        <v>0</v>
      </c>
      <c r="AF63" s="102">
        <f>+AF66*AC$9/2</f>
        <v>0</v>
      </c>
      <c r="AG63" s="102">
        <f>+AG66*AC$9/2</f>
        <v>0</v>
      </c>
      <c r="AH63" s="102">
        <f>+AH66*AC$9/2</f>
        <v>0</v>
      </c>
      <c r="AI63" s="102">
        <f>+AI66*AC$9/2</f>
        <v>0</v>
      </c>
      <c r="AJ63" s="102">
        <f>+AJ66*AC$9/2</f>
        <v>0</v>
      </c>
      <c r="AK63" s="102">
        <f>+AK66*AC$9/2</f>
        <v>0</v>
      </c>
      <c r="AL63" s="102">
        <f>+AL66*AC$9/2</f>
        <v>0</v>
      </c>
      <c r="AM63" s="102">
        <f>+AM66*AC$9/2</f>
        <v>0</v>
      </c>
      <c r="AN63" s="102">
        <f>+AN66*AC$9/2</f>
        <v>0</v>
      </c>
      <c r="AO63" s="102">
        <f>+AO66*AC$9/2</f>
        <v>0</v>
      </c>
      <c r="AP63" s="102">
        <f>+AP66*AC$9/2</f>
        <v>0</v>
      </c>
      <c r="AQ63" s="102">
        <f>+AQ66*AC$9/2</f>
        <v>0</v>
      </c>
      <c r="AR63" s="102">
        <f>+AR66*AC$9/2</f>
        <v>0</v>
      </c>
      <c r="AS63" s="102"/>
      <c r="AT63" s="102"/>
      <c r="AU63" s="102"/>
      <c r="AV63" s="102"/>
      <c r="AW63" s="102"/>
      <c r="AX63" s="102"/>
      <c r="AY63" s="102"/>
      <c r="AZ63" s="102"/>
      <c r="BA63" s="102"/>
      <c r="BB63" s="102"/>
      <c r="BC63" s="102"/>
      <c r="BD63" s="102"/>
      <c r="BE63" s="102"/>
      <c r="BF63" s="102"/>
      <c r="BG63" s="102"/>
      <c r="BH63" s="102"/>
      <c r="BI63" s="102"/>
    </row>
    <row r="64" spans="1:61" s="17" customFormat="1" hidden="1" outlineLevel="1" x14ac:dyDescent="0.25">
      <c r="A64" s="16" t="str">
        <f t="shared" si="70"/>
        <v xml:space="preserve">Debt Servicing </v>
      </c>
      <c r="B64" s="101">
        <f t="shared" si="64"/>
        <v>0</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f>-PMT($AC$9/2,$AC$10*2,AC59)</f>
        <v>0</v>
      </c>
      <c r="AD64" s="102">
        <f t="shared" ref="AD64:AR64" si="72">+AC64</f>
        <v>0</v>
      </c>
      <c r="AE64" s="102">
        <f t="shared" si="72"/>
        <v>0</v>
      </c>
      <c r="AF64" s="102">
        <f t="shared" si="72"/>
        <v>0</v>
      </c>
      <c r="AG64" s="102">
        <f t="shared" si="72"/>
        <v>0</v>
      </c>
      <c r="AH64" s="102">
        <f t="shared" si="72"/>
        <v>0</v>
      </c>
      <c r="AI64" s="102">
        <f t="shared" si="72"/>
        <v>0</v>
      </c>
      <c r="AJ64" s="102">
        <f t="shared" si="72"/>
        <v>0</v>
      </c>
      <c r="AK64" s="102">
        <f t="shared" si="72"/>
        <v>0</v>
      </c>
      <c r="AL64" s="102">
        <f t="shared" si="72"/>
        <v>0</v>
      </c>
      <c r="AM64" s="102">
        <f t="shared" si="72"/>
        <v>0</v>
      </c>
      <c r="AN64" s="102">
        <f t="shared" si="72"/>
        <v>0</v>
      </c>
      <c r="AO64" s="102">
        <f t="shared" si="72"/>
        <v>0</v>
      </c>
      <c r="AP64" s="102">
        <f t="shared" si="72"/>
        <v>0</v>
      </c>
      <c r="AQ64" s="102">
        <f t="shared" si="72"/>
        <v>0</v>
      </c>
      <c r="AR64" s="102">
        <f t="shared" si="72"/>
        <v>0</v>
      </c>
      <c r="AS64" s="102"/>
      <c r="AT64" s="102"/>
      <c r="AU64" s="102"/>
      <c r="AV64" s="102"/>
      <c r="AW64" s="102"/>
      <c r="AX64" s="102"/>
      <c r="AY64" s="102"/>
      <c r="AZ64" s="102"/>
      <c r="BA64" s="102"/>
      <c r="BB64" s="102"/>
      <c r="BC64" s="102"/>
      <c r="BD64" s="102"/>
      <c r="BE64" s="102"/>
      <c r="BF64" s="102"/>
      <c r="BG64" s="102"/>
      <c r="BH64" s="102"/>
      <c r="BI64" s="102"/>
    </row>
    <row r="65" spans="1:61" s="17" customFormat="1" hidden="1" outlineLevel="1" x14ac:dyDescent="0.25">
      <c r="A65" s="16" t="str">
        <f t="shared" si="70"/>
        <v xml:space="preserve">Debt Servicing </v>
      </c>
      <c r="B65" s="101">
        <f t="shared" si="64"/>
        <v>0</v>
      </c>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f t="shared" ref="AD65:AQ65" si="73">+AD64</f>
        <v>0</v>
      </c>
      <c r="AE65" s="102">
        <f t="shared" si="73"/>
        <v>0</v>
      </c>
      <c r="AF65" s="102">
        <f t="shared" si="73"/>
        <v>0</v>
      </c>
      <c r="AG65" s="102">
        <f t="shared" si="73"/>
        <v>0</v>
      </c>
      <c r="AH65" s="102">
        <f t="shared" si="73"/>
        <v>0</v>
      </c>
      <c r="AI65" s="102">
        <f t="shared" si="73"/>
        <v>0</v>
      </c>
      <c r="AJ65" s="102">
        <f t="shared" si="73"/>
        <v>0</v>
      </c>
      <c r="AK65" s="102">
        <f t="shared" si="73"/>
        <v>0</v>
      </c>
      <c r="AL65" s="102">
        <f t="shared" si="73"/>
        <v>0</v>
      </c>
      <c r="AM65" s="102">
        <f t="shared" si="73"/>
        <v>0</v>
      </c>
      <c r="AN65" s="102">
        <f t="shared" si="73"/>
        <v>0</v>
      </c>
      <c r="AO65" s="102">
        <f t="shared" si="73"/>
        <v>0</v>
      </c>
      <c r="AP65" s="102">
        <f t="shared" si="73"/>
        <v>0</v>
      </c>
      <c r="AQ65" s="102">
        <f t="shared" si="73"/>
        <v>0</v>
      </c>
      <c r="AR65" s="102"/>
      <c r="AS65" s="102"/>
      <c r="AT65" s="102"/>
      <c r="AU65" s="102"/>
      <c r="AV65" s="102"/>
      <c r="AW65" s="102"/>
      <c r="AX65" s="102"/>
      <c r="AY65" s="102"/>
      <c r="AZ65" s="102"/>
      <c r="BA65" s="102"/>
      <c r="BB65" s="102"/>
      <c r="BC65" s="102"/>
      <c r="BD65" s="102"/>
      <c r="BE65" s="102"/>
      <c r="BF65" s="102"/>
      <c r="BG65" s="102"/>
      <c r="BH65" s="102"/>
      <c r="BI65" s="102"/>
    </row>
    <row r="66" spans="1:61" s="17" customFormat="1" hidden="1" outlineLevel="1" x14ac:dyDescent="0.25">
      <c r="A66" s="16" t="str">
        <f t="shared" si="70"/>
        <v>Balance mid year</v>
      </c>
      <c r="B66" s="101">
        <f t="shared" si="64"/>
        <v>0</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v>0</v>
      </c>
      <c r="AD66" s="102">
        <f t="shared" ref="AD66:AR66" si="74">+AC67-AD60</f>
        <v>0</v>
      </c>
      <c r="AE66" s="102">
        <f t="shared" si="74"/>
        <v>0</v>
      </c>
      <c r="AF66" s="102">
        <f t="shared" si="74"/>
        <v>0</v>
      </c>
      <c r="AG66" s="102">
        <f t="shared" si="74"/>
        <v>0</v>
      </c>
      <c r="AH66" s="102">
        <f t="shared" si="74"/>
        <v>0</v>
      </c>
      <c r="AI66" s="102">
        <f t="shared" si="74"/>
        <v>0</v>
      </c>
      <c r="AJ66" s="102">
        <f t="shared" si="74"/>
        <v>0</v>
      </c>
      <c r="AK66" s="102">
        <f t="shared" si="74"/>
        <v>0</v>
      </c>
      <c r="AL66" s="102">
        <f t="shared" si="74"/>
        <v>0</v>
      </c>
      <c r="AM66" s="102">
        <f t="shared" si="74"/>
        <v>0</v>
      </c>
      <c r="AN66" s="102">
        <f t="shared" si="74"/>
        <v>0</v>
      </c>
      <c r="AO66" s="102">
        <f t="shared" si="74"/>
        <v>0</v>
      </c>
      <c r="AP66" s="102">
        <f t="shared" si="74"/>
        <v>0</v>
      </c>
      <c r="AQ66" s="102">
        <f t="shared" si="74"/>
        <v>0</v>
      </c>
      <c r="AR66" s="102">
        <f t="shared" si="74"/>
        <v>0</v>
      </c>
      <c r="AS66" s="102"/>
      <c r="AT66" s="102"/>
      <c r="AU66" s="102"/>
      <c r="AV66" s="102"/>
      <c r="AW66" s="102"/>
      <c r="AX66" s="102"/>
      <c r="AY66" s="102"/>
      <c r="AZ66" s="102"/>
      <c r="BA66" s="102"/>
      <c r="BB66" s="102"/>
      <c r="BC66" s="102"/>
      <c r="BD66" s="102"/>
      <c r="BE66" s="102"/>
      <c r="BF66" s="102"/>
      <c r="BG66" s="102"/>
      <c r="BH66" s="102"/>
      <c r="BI66" s="102"/>
    </row>
    <row r="67" spans="1:61" s="17" customFormat="1" hidden="1" outlineLevel="1" x14ac:dyDescent="0.25">
      <c r="A67" s="16" t="str">
        <f t="shared" si="70"/>
        <v>Balance</v>
      </c>
      <c r="B67" s="101">
        <f t="shared" si="64"/>
        <v>0</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f>+AC59-AC60</f>
        <v>0</v>
      </c>
      <c r="AD67" s="102">
        <f t="shared" ref="AD67:AR67" si="75">+AD66-AD61</f>
        <v>0</v>
      </c>
      <c r="AE67" s="102">
        <f t="shared" si="75"/>
        <v>0</v>
      </c>
      <c r="AF67" s="102">
        <f t="shared" si="75"/>
        <v>0</v>
      </c>
      <c r="AG67" s="102">
        <f t="shared" si="75"/>
        <v>0</v>
      </c>
      <c r="AH67" s="102">
        <f t="shared" si="75"/>
        <v>0</v>
      </c>
      <c r="AI67" s="102">
        <f t="shared" si="75"/>
        <v>0</v>
      </c>
      <c r="AJ67" s="102">
        <f t="shared" si="75"/>
        <v>0</v>
      </c>
      <c r="AK67" s="102">
        <f t="shared" si="75"/>
        <v>0</v>
      </c>
      <c r="AL67" s="102">
        <f t="shared" si="75"/>
        <v>0</v>
      </c>
      <c r="AM67" s="102">
        <f t="shared" si="75"/>
        <v>0</v>
      </c>
      <c r="AN67" s="102">
        <f t="shared" si="75"/>
        <v>0</v>
      </c>
      <c r="AO67" s="102">
        <f t="shared" si="75"/>
        <v>0</v>
      </c>
      <c r="AP67" s="102">
        <f t="shared" si="75"/>
        <v>0</v>
      </c>
      <c r="AQ67" s="102">
        <f t="shared" si="75"/>
        <v>0</v>
      </c>
      <c r="AR67" s="102">
        <f t="shared" si="75"/>
        <v>0</v>
      </c>
      <c r="AS67" s="102"/>
      <c r="AT67" s="102"/>
      <c r="AU67" s="102"/>
      <c r="AV67" s="102"/>
      <c r="AW67" s="102"/>
      <c r="AX67" s="102"/>
      <c r="AY67" s="102"/>
      <c r="AZ67" s="102"/>
      <c r="BA67" s="102"/>
      <c r="BB67" s="102"/>
      <c r="BC67" s="102"/>
      <c r="BD67" s="102"/>
      <c r="BE67" s="102"/>
      <c r="BF67" s="102"/>
      <c r="BG67" s="102"/>
      <c r="BH67" s="102"/>
      <c r="BI67" s="102"/>
    </row>
    <row r="68" spans="1:61" s="17" customFormat="1" hidden="1" outlineLevel="1" x14ac:dyDescent="0.25">
      <c r="A68" s="16"/>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row>
    <row r="69" spans="1:61" hidden="1" outlineLevel="1" x14ac:dyDescent="0.25">
      <c r="A69" s="20" t="s">
        <v>226</v>
      </c>
      <c r="B69" s="101">
        <f t="shared" ref="B69:B97" si="76">SUM(C69:BB69)</f>
        <v>0</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f>AD8</f>
        <v>0</v>
      </c>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row>
    <row r="70" spans="1:61" s="17" customFormat="1" hidden="1" outlineLevel="1" x14ac:dyDescent="0.25">
      <c r="A70" s="16" t="s">
        <v>163</v>
      </c>
      <c r="B70" s="101">
        <f t="shared" si="76"/>
        <v>0</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f>+AD74-AD72</f>
        <v>0</v>
      </c>
      <c r="AE70" s="102">
        <f>+AE74-AE72</f>
        <v>0</v>
      </c>
      <c r="AF70" s="102">
        <f t="shared" ref="AF70:AS71" si="77">+AF74-AF72</f>
        <v>0</v>
      </c>
      <c r="AG70" s="102">
        <f t="shared" si="77"/>
        <v>0</v>
      </c>
      <c r="AH70" s="102">
        <f t="shared" si="77"/>
        <v>0</v>
      </c>
      <c r="AI70" s="102">
        <f t="shared" si="77"/>
        <v>0</v>
      </c>
      <c r="AJ70" s="102">
        <f t="shared" si="77"/>
        <v>0</v>
      </c>
      <c r="AK70" s="102">
        <f t="shared" si="77"/>
        <v>0</v>
      </c>
      <c r="AL70" s="102">
        <f t="shared" si="77"/>
        <v>0</v>
      </c>
      <c r="AM70" s="102">
        <f t="shared" si="77"/>
        <v>0</v>
      </c>
      <c r="AN70" s="102">
        <f t="shared" si="77"/>
        <v>0</v>
      </c>
      <c r="AO70" s="102">
        <f t="shared" si="77"/>
        <v>0</v>
      </c>
      <c r="AP70" s="102">
        <f t="shared" si="77"/>
        <v>0</v>
      </c>
      <c r="AQ70" s="102">
        <f t="shared" si="77"/>
        <v>0</v>
      </c>
      <c r="AR70" s="102">
        <f t="shared" si="77"/>
        <v>0</v>
      </c>
      <c r="AS70" s="102">
        <f t="shared" si="77"/>
        <v>0</v>
      </c>
      <c r="AT70" s="102"/>
      <c r="AU70" s="102"/>
      <c r="AV70" s="102"/>
      <c r="AW70" s="102"/>
      <c r="AX70" s="102"/>
      <c r="AY70" s="102"/>
      <c r="AZ70" s="102"/>
      <c r="BA70" s="102"/>
      <c r="BB70" s="102"/>
      <c r="BC70" s="102"/>
      <c r="BD70" s="102"/>
      <c r="BE70" s="102"/>
      <c r="BF70" s="102"/>
      <c r="BG70" s="102"/>
      <c r="BH70" s="102"/>
      <c r="BI70" s="102"/>
    </row>
    <row r="71" spans="1:61" s="17" customFormat="1" hidden="1" outlineLevel="1" x14ac:dyDescent="0.25">
      <c r="A71" s="16" t="s">
        <v>163</v>
      </c>
      <c r="B71" s="101">
        <f t="shared" si="76"/>
        <v>0</v>
      </c>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f>+AE75-AE73</f>
        <v>0</v>
      </c>
      <c r="AF71" s="102">
        <f t="shared" si="77"/>
        <v>0</v>
      </c>
      <c r="AG71" s="102">
        <f t="shared" si="77"/>
        <v>0</v>
      </c>
      <c r="AH71" s="102">
        <f t="shared" si="77"/>
        <v>0</v>
      </c>
      <c r="AI71" s="102">
        <f t="shared" si="77"/>
        <v>0</v>
      </c>
      <c r="AJ71" s="102">
        <f t="shared" si="77"/>
        <v>0</v>
      </c>
      <c r="AK71" s="102">
        <f t="shared" si="77"/>
        <v>0</v>
      </c>
      <c r="AL71" s="102">
        <f t="shared" si="77"/>
        <v>0</v>
      </c>
      <c r="AM71" s="102">
        <f t="shared" si="77"/>
        <v>0</v>
      </c>
      <c r="AN71" s="102">
        <f t="shared" si="77"/>
        <v>0</v>
      </c>
      <c r="AO71" s="102">
        <f t="shared" si="77"/>
        <v>0</v>
      </c>
      <c r="AP71" s="102">
        <f t="shared" si="77"/>
        <v>0</v>
      </c>
      <c r="AQ71" s="102">
        <f t="shared" si="77"/>
        <v>0</v>
      </c>
      <c r="AR71" s="102">
        <f t="shared" si="77"/>
        <v>0</v>
      </c>
      <c r="AS71" s="102">
        <f t="shared" si="77"/>
        <v>0</v>
      </c>
      <c r="AT71" s="102"/>
      <c r="AU71" s="102"/>
      <c r="AV71" s="102"/>
      <c r="AW71" s="102"/>
      <c r="AX71" s="102"/>
      <c r="AY71" s="102"/>
      <c r="AZ71" s="102"/>
      <c r="BA71" s="102"/>
      <c r="BB71" s="102"/>
      <c r="BC71" s="102"/>
      <c r="BD71" s="102"/>
      <c r="BE71" s="102"/>
      <c r="BF71" s="102"/>
      <c r="BG71" s="102"/>
      <c r="BH71" s="102"/>
      <c r="BI71" s="102"/>
    </row>
    <row r="72" spans="1:61" s="17" customFormat="1" hidden="1" outlineLevel="1" x14ac:dyDescent="0.25">
      <c r="A72" s="16" t="s">
        <v>164</v>
      </c>
      <c r="B72" s="101">
        <f t="shared" si="76"/>
        <v>0</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f>AD69*AD9/2</f>
        <v>0</v>
      </c>
      <c r="AE72" s="102">
        <f>+AD77*$AD$9/2</f>
        <v>0</v>
      </c>
      <c r="AF72" s="102">
        <f t="shared" ref="AF72:AS72" si="78">+AE77*$AD$9/2</f>
        <v>0</v>
      </c>
      <c r="AG72" s="102">
        <f t="shared" si="78"/>
        <v>0</v>
      </c>
      <c r="AH72" s="102">
        <f t="shared" si="78"/>
        <v>0</v>
      </c>
      <c r="AI72" s="102">
        <f t="shared" si="78"/>
        <v>0</v>
      </c>
      <c r="AJ72" s="102">
        <f t="shared" si="78"/>
        <v>0</v>
      </c>
      <c r="AK72" s="102">
        <f t="shared" si="78"/>
        <v>0</v>
      </c>
      <c r="AL72" s="102">
        <f t="shared" si="78"/>
        <v>0</v>
      </c>
      <c r="AM72" s="102">
        <f t="shared" si="78"/>
        <v>0</v>
      </c>
      <c r="AN72" s="102">
        <f t="shared" si="78"/>
        <v>0</v>
      </c>
      <c r="AO72" s="102">
        <f t="shared" si="78"/>
        <v>0</v>
      </c>
      <c r="AP72" s="102">
        <f t="shared" si="78"/>
        <v>0</v>
      </c>
      <c r="AQ72" s="102">
        <f t="shared" si="78"/>
        <v>0</v>
      </c>
      <c r="AR72" s="102">
        <f t="shared" si="78"/>
        <v>0</v>
      </c>
      <c r="AS72" s="102">
        <f t="shared" si="78"/>
        <v>0</v>
      </c>
      <c r="AT72" s="102"/>
      <c r="AU72" s="102"/>
      <c r="AV72" s="102"/>
      <c r="AW72" s="102"/>
      <c r="AX72" s="102"/>
      <c r="AY72" s="102"/>
      <c r="AZ72" s="102"/>
      <c r="BA72" s="102"/>
      <c r="BB72" s="102"/>
      <c r="BC72" s="102"/>
      <c r="BD72" s="102"/>
      <c r="BE72" s="102"/>
      <c r="BF72" s="102"/>
      <c r="BG72" s="102"/>
      <c r="BH72" s="102"/>
      <c r="BI72" s="102"/>
    </row>
    <row r="73" spans="1:61" s="17" customFormat="1" hidden="1" outlineLevel="1" x14ac:dyDescent="0.25">
      <c r="A73" s="16" t="s">
        <v>164</v>
      </c>
      <c r="B73" s="101">
        <f t="shared" si="76"/>
        <v>0</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f>+AE76*$AD$9/2</f>
        <v>0</v>
      </c>
      <c r="AF73" s="102">
        <f t="shared" ref="AF73:AS73" si="79">+AF76*$AD$9/2</f>
        <v>0</v>
      </c>
      <c r="AG73" s="102">
        <f t="shared" si="79"/>
        <v>0</v>
      </c>
      <c r="AH73" s="102">
        <f t="shared" si="79"/>
        <v>0</v>
      </c>
      <c r="AI73" s="102">
        <f t="shared" si="79"/>
        <v>0</v>
      </c>
      <c r="AJ73" s="102">
        <f t="shared" si="79"/>
        <v>0</v>
      </c>
      <c r="AK73" s="102">
        <f t="shared" si="79"/>
        <v>0</v>
      </c>
      <c r="AL73" s="102">
        <f t="shared" si="79"/>
        <v>0</v>
      </c>
      <c r="AM73" s="102">
        <f t="shared" si="79"/>
        <v>0</v>
      </c>
      <c r="AN73" s="102">
        <f t="shared" si="79"/>
        <v>0</v>
      </c>
      <c r="AO73" s="102">
        <f t="shared" si="79"/>
        <v>0</v>
      </c>
      <c r="AP73" s="102">
        <f t="shared" si="79"/>
        <v>0</v>
      </c>
      <c r="AQ73" s="102">
        <f t="shared" si="79"/>
        <v>0</v>
      </c>
      <c r="AR73" s="102">
        <f t="shared" si="79"/>
        <v>0</v>
      </c>
      <c r="AS73" s="102">
        <f t="shared" si="79"/>
        <v>0</v>
      </c>
      <c r="AT73" s="102"/>
      <c r="AU73" s="102"/>
      <c r="AV73" s="102"/>
      <c r="AW73" s="102"/>
      <c r="AX73" s="102"/>
      <c r="AY73" s="102"/>
      <c r="AZ73" s="102"/>
      <c r="BA73" s="102"/>
      <c r="BB73" s="102"/>
      <c r="BC73" s="102"/>
      <c r="BD73" s="102"/>
      <c r="BE73" s="102"/>
      <c r="BF73" s="102"/>
      <c r="BG73" s="102"/>
      <c r="BH73" s="102"/>
      <c r="BI73" s="102"/>
    </row>
    <row r="74" spans="1:61" s="17" customFormat="1" hidden="1" outlineLevel="1" x14ac:dyDescent="0.25">
      <c r="A74" s="16" t="s">
        <v>220</v>
      </c>
      <c r="B74" s="101">
        <f t="shared" si="76"/>
        <v>0</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f>-PMT(AD9/2,AD10*2,AD8)</f>
        <v>0</v>
      </c>
      <c r="AE74" s="102">
        <f>+AD74</f>
        <v>0</v>
      </c>
      <c r="AF74" s="102">
        <f t="shared" ref="AF74:AS74" si="80">+AE74</f>
        <v>0</v>
      </c>
      <c r="AG74" s="102">
        <f t="shared" si="80"/>
        <v>0</v>
      </c>
      <c r="AH74" s="102">
        <f t="shared" si="80"/>
        <v>0</v>
      </c>
      <c r="AI74" s="102">
        <f t="shared" si="80"/>
        <v>0</v>
      </c>
      <c r="AJ74" s="102">
        <f t="shared" si="80"/>
        <v>0</v>
      </c>
      <c r="AK74" s="102">
        <f t="shared" si="80"/>
        <v>0</v>
      </c>
      <c r="AL74" s="102">
        <f t="shared" si="80"/>
        <v>0</v>
      </c>
      <c r="AM74" s="102">
        <f t="shared" si="80"/>
        <v>0</v>
      </c>
      <c r="AN74" s="102">
        <f t="shared" si="80"/>
        <v>0</v>
      </c>
      <c r="AO74" s="102">
        <f t="shared" si="80"/>
        <v>0</v>
      </c>
      <c r="AP74" s="102">
        <f t="shared" si="80"/>
        <v>0</v>
      </c>
      <c r="AQ74" s="102">
        <f t="shared" si="80"/>
        <v>0</v>
      </c>
      <c r="AR74" s="102">
        <f t="shared" si="80"/>
        <v>0</v>
      </c>
      <c r="AS74" s="102">
        <f t="shared" si="80"/>
        <v>0</v>
      </c>
      <c r="AT74" s="102"/>
      <c r="AU74" s="102"/>
      <c r="AV74" s="102"/>
      <c r="AW74" s="102"/>
      <c r="AX74" s="102"/>
      <c r="AY74" s="102"/>
      <c r="AZ74" s="102"/>
      <c r="BA74" s="102"/>
      <c r="BB74" s="102"/>
      <c r="BC74" s="102"/>
      <c r="BD74" s="102"/>
      <c r="BE74" s="102"/>
      <c r="BF74" s="102"/>
      <c r="BG74" s="102"/>
      <c r="BH74" s="102"/>
      <c r="BI74" s="102"/>
    </row>
    <row r="75" spans="1:61" s="17" customFormat="1" hidden="1" outlineLevel="1" x14ac:dyDescent="0.25">
      <c r="A75" s="16" t="s">
        <v>220</v>
      </c>
      <c r="B75" s="101">
        <f t="shared" si="76"/>
        <v>0</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f>+AE74</f>
        <v>0</v>
      </c>
      <c r="AF75" s="102">
        <f t="shared" ref="AF75:AR75" si="81">+AF74</f>
        <v>0</v>
      </c>
      <c r="AG75" s="102">
        <f t="shared" si="81"/>
        <v>0</v>
      </c>
      <c r="AH75" s="102">
        <f t="shared" si="81"/>
        <v>0</v>
      </c>
      <c r="AI75" s="102">
        <f t="shared" si="81"/>
        <v>0</v>
      </c>
      <c r="AJ75" s="102">
        <f t="shared" si="81"/>
        <v>0</v>
      </c>
      <c r="AK75" s="102">
        <f t="shared" si="81"/>
        <v>0</v>
      </c>
      <c r="AL75" s="102">
        <f t="shared" si="81"/>
        <v>0</v>
      </c>
      <c r="AM75" s="102">
        <f t="shared" si="81"/>
        <v>0</v>
      </c>
      <c r="AN75" s="102">
        <f t="shared" si="81"/>
        <v>0</v>
      </c>
      <c r="AO75" s="102">
        <f t="shared" si="81"/>
        <v>0</v>
      </c>
      <c r="AP75" s="102">
        <f t="shared" si="81"/>
        <v>0</v>
      </c>
      <c r="AQ75" s="102">
        <f t="shared" si="81"/>
        <v>0</v>
      </c>
      <c r="AR75" s="102">
        <f t="shared" si="81"/>
        <v>0</v>
      </c>
      <c r="AS75" s="102"/>
      <c r="AT75" s="102"/>
      <c r="AU75" s="102"/>
      <c r="AV75" s="102"/>
      <c r="AW75" s="102"/>
      <c r="AX75" s="102"/>
      <c r="AY75" s="102"/>
      <c r="AZ75" s="102"/>
      <c r="BA75" s="102"/>
      <c r="BB75" s="102"/>
      <c r="BC75" s="102"/>
      <c r="BD75" s="102"/>
      <c r="BE75" s="102"/>
      <c r="BF75" s="102"/>
      <c r="BG75" s="102"/>
      <c r="BH75" s="102"/>
      <c r="BI75" s="102"/>
    </row>
    <row r="76" spans="1:61" s="17" customFormat="1" hidden="1" outlineLevel="1" x14ac:dyDescent="0.25">
      <c r="A76" s="16" t="s">
        <v>227</v>
      </c>
      <c r="B76" s="101">
        <f t="shared" si="76"/>
        <v>0</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f>+AD77-AE70</f>
        <v>0</v>
      </c>
      <c r="AF76" s="102">
        <f t="shared" ref="AF76:AS76" si="82">+AE77-AF70</f>
        <v>0</v>
      </c>
      <c r="AG76" s="102">
        <f t="shared" si="82"/>
        <v>0</v>
      </c>
      <c r="AH76" s="102">
        <f t="shared" si="82"/>
        <v>0</v>
      </c>
      <c r="AI76" s="102">
        <f t="shared" si="82"/>
        <v>0</v>
      </c>
      <c r="AJ76" s="102">
        <f t="shared" si="82"/>
        <v>0</v>
      </c>
      <c r="AK76" s="102">
        <f t="shared" si="82"/>
        <v>0</v>
      </c>
      <c r="AL76" s="102">
        <f t="shared" si="82"/>
        <v>0</v>
      </c>
      <c r="AM76" s="102">
        <f t="shared" si="82"/>
        <v>0</v>
      </c>
      <c r="AN76" s="102">
        <f t="shared" si="82"/>
        <v>0</v>
      </c>
      <c r="AO76" s="102">
        <f t="shared" si="82"/>
        <v>0</v>
      </c>
      <c r="AP76" s="102">
        <f t="shared" si="82"/>
        <v>0</v>
      </c>
      <c r="AQ76" s="102">
        <f t="shared" si="82"/>
        <v>0</v>
      </c>
      <c r="AR76" s="102">
        <f t="shared" si="82"/>
        <v>0</v>
      </c>
      <c r="AS76" s="102">
        <f t="shared" si="82"/>
        <v>0</v>
      </c>
      <c r="AT76" s="102"/>
      <c r="AU76" s="102"/>
      <c r="AV76" s="102"/>
      <c r="AW76" s="102"/>
      <c r="AX76" s="102"/>
      <c r="AY76" s="102"/>
      <c r="AZ76" s="102"/>
      <c r="BA76" s="102"/>
      <c r="BB76" s="102"/>
      <c r="BC76" s="102"/>
      <c r="BD76" s="102"/>
      <c r="BE76" s="102"/>
      <c r="BF76" s="102"/>
      <c r="BG76" s="102"/>
      <c r="BH76" s="102"/>
      <c r="BI76" s="102"/>
    </row>
    <row r="77" spans="1:61" s="17" customFormat="1" hidden="1" outlineLevel="1" x14ac:dyDescent="0.25">
      <c r="A77" s="16" t="s">
        <v>16</v>
      </c>
      <c r="B77" s="101">
        <f t="shared" si="76"/>
        <v>0</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f>AD69-AD70</f>
        <v>0</v>
      </c>
      <c r="AE77" s="102">
        <f>+AE76-AE71</f>
        <v>0</v>
      </c>
      <c r="AF77" s="102">
        <f t="shared" ref="AF77:AS77" si="83">+AF76-AF71</f>
        <v>0</v>
      </c>
      <c r="AG77" s="102">
        <f t="shared" si="83"/>
        <v>0</v>
      </c>
      <c r="AH77" s="102">
        <f t="shared" si="83"/>
        <v>0</v>
      </c>
      <c r="AI77" s="102">
        <f t="shared" si="83"/>
        <v>0</v>
      </c>
      <c r="AJ77" s="102">
        <f t="shared" si="83"/>
        <v>0</v>
      </c>
      <c r="AK77" s="102">
        <f t="shared" si="83"/>
        <v>0</v>
      </c>
      <c r="AL77" s="102">
        <f t="shared" si="83"/>
        <v>0</v>
      </c>
      <c r="AM77" s="102">
        <f t="shared" si="83"/>
        <v>0</v>
      </c>
      <c r="AN77" s="102">
        <f t="shared" si="83"/>
        <v>0</v>
      </c>
      <c r="AO77" s="102">
        <f t="shared" si="83"/>
        <v>0</v>
      </c>
      <c r="AP77" s="102">
        <f t="shared" si="83"/>
        <v>0</v>
      </c>
      <c r="AQ77" s="102">
        <f t="shared" si="83"/>
        <v>0</v>
      </c>
      <c r="AR77" s="102">
        <f t="shared" si="83"/>
        <v>0</v>
      </c>
      <c r="AS77" s="102">
        <f t="shared" si="83"/>
        <v>0</v>
      </c>
      <c r="AT77" s="102"/>
      <c r="AU77" s="102"/>
      <c r="AV77" s="102"/>
      <c r="AW77" s="102"/>
      <c r="AX77" s="102"/>
      <c r="AY77" s="102"/>
      <c r="AZ77" s="102"/>
      <c r="BA77" s="102"/>
      <c r="BB77" s="102"/>
      <c r="BC77" s="102"/>
      <c r="BD77" s="102"/>
      <c r="BE77" s="102"/>
      <c r="BF77" s="102"/>
      <c r="BG77" s="102"/>
      <c r="BH77" s="102"/>
      <c r="BI77" s="102"/>
    </row>
    <row r="78" spans="1:61" hidden="1" outlineLevel="1" x14ac:dyDescent="0.25">
      <c r="A78" s="21"/>
      <c r="B78" s="101">
        <f t="shared" si="76"/>
        <v>0</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row>
    <row r="79" spans="1:61" hidden="1" outlineLevel="1" x14ac:dyDescent="0.25">
      <c r="A79" s="20" t="str">
        <f t="shared" ref="A79:A87" si="84">A69</f>
        <v>Debt Forecasted</v>
      </c>
      <c r="B79" s="101">
        <f t="shared" si="76"/>
        <v>0</v>
      </c>
      <c r="C79" s="102">
        <v>0</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f>AE8</f>
        <v>0</v>
      </c>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row>
    <row r="80" spans="1:61" s="17" customFormat="1" hidden="1" outlineLevel="1" x14ac:dyDescent="0.25">
      <c r="A80" s="16" t="str">
        <f t="shared" si="84"/>
        <v>Principal</v>
      </c>
      <c r="B80" s="101">
        <f t="shared" si="76"/>
        <v>0</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f t="shared" ref="AE80:AT81" si="85">+AE84-AE82</f>
        <v>0</v>
      </c>
      <c r="AF80" s="102">
        <f t="shared" si="85"/>
        <v>0</v>
      </c>
      <c r="AG80" s="102">
        <f t="shared" si="85"/>
        <v>0</v>
      </c>
      <c r="AH80" s="102">
        <f t="shared" si="85"/>
        <v>0</v>
      </c>
      <c r="AI80" s="102">
        <f t="shared" si="85"/>
        <v>0</v>
      </c>
      <c r="AJ80" s="102">
        <f t="shared" si="85"/>
        <v>0</v>
      </c>
      <c r="AK80" s="102">
        <f t="shared" si="85"/>
        <v>0</v>
      </c>
      <c r="AL80" s="102">
        <f t="shared" si="85"/>
        <v>0</v>
      </c>
      <c r="AM80" s="102">
        <f t="shared" si="85"/>
        <v>0</v>
      </c>
      <c r="AN80" s="102">
        <f t="shared" si="85"/>
        <v>0</v>
      </c>
      <c r="AO80" s="102">
        <f t="shared" si="85"/>
        <v>0</v>
      </c>
      <c r="AP80" s="102">
        <f t="shared" si="85"/>
        <v>0</v>
      </c>
      <c r="AQ80" s="102">
        <f t="shared" si="85"/>
        <v>0</v>
      </c>
      <c r="AR80" s="102">
        <f t="shared" si="85"/>
        <v>0</v>
      </c>
      <c r="AS80" s="102">
        <f t="shared" si="85"/>
        <v>0</v>
      </c>
      <c r="AT80" s="102">
        <f t="shared" si="85"/>
        <v>0</v>
      </c>
      <c r="AU80" s="102"/>
      <c r="AV80" s="102"/>
      <c r="AW80" s="102"/>
      <c r="AX80" s="102"/>
      <c r="AY80" s="102"/>
      <c r="AZ80" s="102"/>
      <c r="BA80" s="102"/>
      <c r="BB80" s="102"/>
      <c r="BC80" s="102"/>
      <c r="BD80" s="102"/>
      <c r="BE80" s="102"/>
      <c r="BF80" s="102"/>
      <c r="BG80" s="102"/>
      <c r="BH80" s="102"/>
      <c r="BI80" s="102"/>
    </row>
    <row r="81" spans="1:61" s="17" customFormat="1" hidden="1" outlineLevel="1" x14ac:dyDescent="0.25">
      <c r="A81" s="16" t="str">
        <f t="shared" si="84"/>
        <v>Principal</v>
      </c>
      <c r="B81" s="101">
        <f t="shared" si="76"/>
        <v>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f t="shared" si="85"/>
        <v>0</v>
      </c>
      <c r="AG81" s="102">
        <f t="shared" si="85"/>
        <v>0</v>
      </c>
      <c r="AH81" s="102">
        <f t="shared" si="85"/>
        <v>0</v>
      </c>
      <c r="AI81" s="102">
        <f t="shared" si="85"/>
        <v>0</v>
      </c>
      <c r="AJ81" s="102">
        <f t="shared" si="85"/>
        <v>0</v>
      </c>
      <c r="AK81" s="102">
        <f t="shared" si="85"/>
        <v>0</v>
      </c>
      <c r="AL81" s="102">
        <f t="shared" si="85"/>
        <v>0</v>
      </c>
      <c r="AM81" s="102">
        <f t="shared" si="85"/>
        <v>0</v>
      </c>
      <c r="AN81" s="102">
        <f t="shared" si="85"/>
        <v>0</v>
      </c>
      <c r="AO81" s="102">
        <f t="shared" si="85"/>
        <v>0</v>
      </c>
      <c r="AP81" s="102">
        <f t="shared" si="85"/>
        <v>0</v>
      </c>
      <c r="AQ81" s="102">
        <f t="shared" si="85"/>
        <v>0</v>
      </c>
      <c r="AR81" s="102">
        <f t="shared" si="85"/>
        <v>0</v>
      </c>
      <c r="AS81" s="102">
        <f t="shared" si="85"/>
        <v>0</v>
      </c>
      <c r="AT81" s="102">
        <f t="shared" si="85"/>
        <v>0</v>
      </c>
      <c r="AU81" s="102"/>
      <c r="AV81" s="102"/>
      <c r="AW81" s="102"/>
      <c r="AX81" s="102"/>
      <c r="AY81" s="102"/>
      <c r="AZ81" s="102"/>
      <c r="BA81" s="102"/>
      <c r="BB81" s="102"/>
      <c r="BC81" s="102"/>
      <c r="BD81" s="102"/>
      <c r="BE81" s="102"/>
      <c r="BF81" s="102"/>
      <c r="BG81" s="102"/>
      <c r="BH81" s="102"/>
      <c r="BI81" s="102"/>
    </row>
    <row r="82" spans="1:61" s="17" customFormat="1" hidden="1" outlineLevel="1" x14ac:dyDescent="0.25">
      <c r="A82" s="16" t="str">
        <f t="shared" si="84"/>
        <v>Interest</v>
      </c>
      <c r="B82" s="101">
        <f t="shared" si="76"/>
        <v>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f>+AE79*AE9/2</f>
        <v>0</v>
      </c>
      <c r="AF82" s="102">
        <f>+AE87*$AE$9/2</f>
        <v>0</v>
      </c>
      <c r="AG82" s="102">
        <f t="shared" ref="AG82:AT82" si="86">+AF87*$AE$9/2</f>
        <v>0</v>
      </c>
      <c r="AH82" s="102">
        <f t="shared" si="86"/>
        <v>0</v>
      </c>
      <c r="AI82" s="102">
        <f t="shared" si="86"/>
        <v>0</v>
      </c>
      <c r="AJ82" s="102">
        <f t="shared" si="86"/>
        <v>0</v>
      </c>
      <c r="AK82" s="102">
        <f t="shared" si="86"/>
        <v>0</v>
      </c>
      <c r="AL82" s="102">
        <f t="shared" si="86"/>
        <v>0</v>
      </c>
      <c r="AM82" s="102">
        <f t="shared" si="86"/>
        <v>0</v>
      </c>
      <c r="AN82" s="102">
        <f t="shared" si="86"/>
        <v>0</v>
      </c>
      <c r="AO82" s="102">
        <f t="shared" si="86"/>
        <v>0</v>
      </c>
      <c r="AP82" s="102">
        <f t="shared" si="86"/>
        <v>0</v>
      </c>
      <c r="AQ82" s="102">
        <f t="shared" si="86"/>
        <v>0</v>
      </c>
      <c r="AR82" s="102">
        <f t="shared" si="86"/>
        <v>0</v>
      </c>
      <c r="AS82" s="102">
        <f t="shared" si="86"/>
        <v>0</v>
      </c>
      <c r="AT82" s="102">
        <f t="shared" si="86"/>
        <v>0</v>
      </c>
      <c r="AU82" s="102"/>
      <c r="AV82" s="102"/>
      <c r="AW82" s="102"/>
      <c r="AX82" s="102"/>
      <c r="AY82" s="102"/>
      <c r="AZ82" s="102"/>
      <c r="BA82" s="102"/>
      <c r="BB82" s="102"/>
      <c r="BC82" s="102"/>
      <c r="BD82" s="102"/>
      <c r="BE82" s="102"/>
      <c r="BF82" s="102"/>
      <c r="BG82" s="102"/>
      <c r="BH82" s="102"/>
      <c r="BI82" s="102"/>
    </row>
    <row r="83" spans="1:61" s="17" customFormat="1" hidden="1" outlineLevel="1" x14ac:dyDescent="0.25">
      <c r="A83" s="16" t="str">
        <f t="shared" si="84"/>
        <v>Interest</v>
      </c>
      <c r="B83" s="101">
        <f t="shared" si="76"/>
        <v>0</v>
      </c>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f>+AF86*$AE$9/2</f>
        <v>0</v>
      </c>
      <c r="AG83" s="102">
        <f t="shared" ref="AG83:AT83" si="87">+AG86*$AE$9/2</f>
        <v>0</v>
      </c>
      <c r="AH83" s="102">
        <f t="shared" si="87"/>
        <v>0</v>
      </c>
      <c r="AI83" s="102">
        <f t="shared" si="87"/>
        <v>0</v>
      </c>
      <c r="AJ83" s="102">
        <f t="shared" si="87"/>
        <v>0</v>
      </c>
      <c r="AK83" s="102">
        <f t="shared" si="87"/>
        <v>0</v>
      </c>
      <c r="AL83" s="102">
        <f t="shared" si="87"/>
        <v>0</v>
      </c>
      <c r="AM83" s="102">
        <f t="shared" si="87"/>
        <v>0</v>
      </c>
      <c r="AN83" s="102">
        <f t="shared" si="87"/>
        <v>0</v>
      </c>
      <c r="AO83" s="102">
        <f t="shared" si="87"/>
        <v>0</v>
      </c>
      <c r="AP83" s="102">
        <f t="shared" si="87"/>
        <v>0</v>
      </c>
      <c r="AQ83" s="102">
        <f t="shared" si="87"/>
        <v>0</v>
      </c>
      <c r="AR83" s="102">
        <f t="shared" si="87"/>
        <v>0</v>
      </c>
      <c r="AS83" s="102">
        <f t="shared" si="87"/>
        <v>0</v>
      </c>
      <c r="AT83" s="102">
        <f t="shared" si="87"/>
        <v>0</v>
      </c>
      <c r="AU83" s="102"/>
      <c r="AV83" s="102"/>
      <c r="AW83" s="102"/>
      <c r="AX83" s="102"/>
      <c r="AY83" s="102"/>
      <c r="AZ83" s="102"/>
      <c r="BA83" s="102"/>
      <c r="BB83" s="102"/>
      <c r="BC83" s="102"/>
      <c r="BD83" s="102"/>
      <c r="BE83" s="102"/>
      <c r="BF83" s="102"/>
      <c r="BG83" s="102"/>
      <c r="BH83" s="102"/>
      <c r="BI83" s="102"/>
    </row>
    <row r="84" spans="1:61" s="17" customFormat="1" hidden="1" outlineLevel="1" x14ac:dyDescent="0.25">
      <c r="A84" s="16" t="str">
        <f t="shared" si="84"/>
        <v xml:space="preserve">Debt Servicing </v>
      </c>
      <c r="B84" s="101">
        <f t="shared" si="76"/>
        <v>0</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f>-PMT(AE9/2,AE10*2,AE8)</f>
        <v>0</v>
      </c>
      <c r="AF84" s="102">
        <f t="shared" ref="AF84:AT84" si="88">+AE84</f>
        <v>0</v>
      </c>
      <c r="AG84" s="102">
        <f t="shared" si="88"/>
        <v>0</v>
      </c>
      <c r="AH84" s="102">
        <f t="shared" si="88"/>
        <v>0</v>
      </c>
      <c r="AI84" s="102">
        <f t="shared" si="88"/>
        <v>0</v>
      </c>
      <c r="AJ84" s="102">
        <f t="shared" si="88"/>
        <v>0</v>
      </c>
      <c r="AK84" s="102">
        <f t="shared" si="88"/>
        <v>0</v>
      </c>
      <c r="AL84" s="102">
        <f t="shared" si="88"/>
        <v>0</v>
      </c>
      <c r="AM84" s="102">
        <f t="shared" si="88"/>
        <v>0</v>
      </c>
      <c r="AN84" s="102">
        <f t="shared" si="88"/>
        <v>0</v>
      </c>
      <c r="AO84" s="102">
        <f t="shared" si="88"/>
        <v>0</v>
      </c>
      <c r="AP84" s="102">
        <f t="shared" si="88"/>
        <v>0</v>
      </c>
      <c r="AQ84" s="102">
        <f t="shared" si="88"/>
        <v>0</v>
      </c>
      <c r="AR84" s="102">
        <f t="shared" si="88"/>
        <v>0</v>
      </c>
      <c r="AS84" s="102">
        <f t="shared" si="88"/>
        <v>0</v>
      </c>
      <c r="AT84" s="102">
        <f t="shared" si="88"/>
        <v>0</v>
      </c>
      <c r="AU84" s="102"/>
      <c r="AV84" s="102"/>
      <c r="AW84" s="102"/>
      <c r="AX84" s="102"/>
      <c r="AY84" s="102"/>
      <c r="AZ84" s="102"/>
      <c r="BA84" s="102"/>
      <c r="BB84" s="102"/>
      <c r="BC84" s="102"/>
      <c r="BD84" s="102"/>
      <c r="BE84" s="102"/>
      <c r="BF84" s="102"/>
      <c r="BG84" s="102"/>
      <c r="BH84" s="102"/>
      <c r="BI84" s="102"/>
    </row>
    <row r="85" spans="1:61" s="17" customFormat="1" hidden="1" outlineLevel="1" x14ac:dyDescent="0.25">
      <c r="A85" s="16" t="str">
        <f t="shared" si="84"/>
        <v xml:space="preserve">Debt Servicing </v>
      </c>
      <c r="B85" s="101">
        <f t="shared" si="76"/>
        <v>0</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f t="shared" ref="AF85:AS85" si="89">+AF84</f>
        <v>0</v>
      </c>
      <c r="AG85" s="102">
        <f t="shared" si="89"/>
        <v>0</v>
      </c>
      <c r="AH85" s="102">
        <f t="shared" si="89"/>
        <v>0</v>
      </c>
      <c r="AI85" s="102">
        <f t="shared" si="89"/>
        <v>0</v>
      </c>
      <c r="AJ85" s="102">
        <f t="shared" si="89"/>
        <v>0</v>
      </c>
      <c r="AK85" s="102">
        <f t="shared" si="89"/>
        <v>0</v>
      </c>
      <c r="AL85" s="102">
        <f t="shared" si="89"/>
        <v>0</v>
      </c>
      <c r="AM85" s="102">
        <f t="shared" si="89"/>
        <v>0</v>
      </c>
      <c r="AN85" s="102">
        <f t="shared" si="89"/>
        <v>0</v>
      </c>
      <c r="AO85" s="102">
        <f t="shared" si="89"/>
        <v>0</v>
      </c>
      <c r="AP85" s="102">
        <f t="shared" si="89"/>
        <v>0</v>
      </c>
      <c r="AQ85" s="102">
        <f t="shared" si="89"/>
        <v>0</v>
      </c>
      <c r="AR85" s="102">
        <f t="shared" si="89"/>
        <v>0</v>
      </c>
      <c r="AS85" s="102">
        <f t="shared" si="89"/>
        <v>0</v>
      </c>
      <c r="AT85" s="102"/>
      <c r="AU85" s="102"/>
      <c r="AV85" s="102"/>
      <c r="AW85" s="102"/>
      <c r="AX85" s="102"/>
      <c r="AY85" s="102"/>
      <c r="AZ85" s="102"/>
      <c r="BA85" s="102"/>
      <c r="BB85" s="102"/>
      <c r="BC85" s="102"/>
      <c r="BD85" s="102"/>
      <c r="BE85" s="102"/>
      <c r="BF85" s="102"/>
      <c r="BG85" s="102"/>
      <c r="BH85" s="102"/>
      <c r="BI85" s="102"/>
    </row>
    <row r="86" spans="1:61" s="17" customFormat="1" hidden="1" outlineLevel="1" x14ac:dyDescent="0.25">
      <c r="A86" s="16" t="str">
        <f t="shared" si="84"/>
        <v>Balance mid year</v>
      </c>
      <c r="B86" s="101">
        <f t="shared" si="76"/>
        <v>0</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f t="shared" ref="AF86:AT86" si="90">+AE87-AF80</f>
        <v>0</v>
      </c>
      <c r="AG86" s="102">
        <f t="shared" si="90"/>
        <v>0</v>
      </c>
      <c r="AH86" s="102">
        <f t="shared" si="90"/>
        <v>0</v>
      </c>
      <c r="AI86" s="102">
        <f t="shared" si="90"/>
        <v>0</v>
      </c>
      <c r="AJ86" s="102">
        <f t="shared" si="90"/>
        <v>0</v>
      </c>
      <c r="AK86" s="102">
        <f t="shared" si="90"/>
        <v>0</v>
      </c>
      <c r="AL86" s="102">
        <f t="shared" si="90"/>
        <v>0</v>
      </c>
      <c r="AM86" s="102">
        <f t="shared" si="90"/>
        <v>0</v>
      </c>
      <c r="AN86" s="102">
        <f t="shared" si="90"/>
        <v>0</v>
      </c>
      <c r="AO86" s="102">
        <f t="shared" si="90"/>
        <v>0</v>
      </c>
      <c r="AP86" s="102">
        <f t="shared" si="90"/>
        <v>0</v>
      </c>
      <c r="AQ86" s="102">
        <f t="shared" si="90"/>
        <v>0</v>
      </c>
      <c r="AR86" s="102">
        <f t="shared" si="90"/>
        <v>0</v>
      </c>
      <c r="AS86" s="102">
        <f t="shared" si="90"/>
        <v>0</v>
      </c>
      <c r="AT86" s="102">
        <f t="shared" si="90"/>
        <v>0</v>
      </c>
      <c r="AU86" s="102"/>
      <c r="AV86" s="102"/>
      <c r="AW86" s="102"/>
      <c r="AX86" s="102"/>
      <c r="AY86" s="102"/>
      <c r="AZ86" s="102"/>
      <c r="BA86" s="102"/>
      <c r="BB86" s="102"/>
      <c r="BC86" s="102"/>
      <c r="BD86" s="102"/>
      <c r="BE86" s="102"/>
      <c r="BF86" s="102"/>
      <c r="BG86" s="102"/>
      <c r="BH86" s="102"/>
      <c r="BI86" s="102"/>
    </row>
    <row r="87" spans="1:61" s="17" customFormat="1" hidden="1" outlineLevel="1" x14ac:dyDescent="0.25">
      <c r="A87" s="16" t="str">
        <f t="shared" si="84"/>
        <v>Balance</v>
      </c>
      <c r="B87" s="101">
        <f t="shared" si="76"/>
        <v>0</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f>AE79-AE80</f>
        <v>0</v>
      </c>
      <c r="AF87" s="102">
        <f t="shared" ref="AF87:AT87" si="91">+AF86-AF81</f>
        <v>0</v>
      </c>
      <c r="AG87" s="102">
        <f t="shared" si="91"/>
        <v>0</v>
      </c>
      <c r="AH87" s="102">
        <f t="shared" si="91"/>
        <v>0</v>
      </c>
      <c r="AI87" s="102">
        <f t="shared" si="91"/>
        <v>0</v>
      </c>
      <c r="AJ87" s="102">
        <f t="shared" si="91"/>
        <v>0</v>
      </c>
      <c r="AK87" s="102">
        <f t="shared" si="91"/>
        <v>0</v>
      </c>
      <c r="AL87" s="102">
        <f t="shared" si="91"/>
        <v>0</v>
      </c>
      <c r="AM87" s="102">
        <f t="shared" si="91"/>
        <v>0</v>
      </c>
      <c r="AN87" s="102">
        <f t="shared" si="91"/>
        <v>0</v>
      </c>
      <c r="AO87" s="102">
        <f t="shared" si="91"/>
        <v>0</v>
      </c>
      <c r="AP87" s="102">
        <f t="shared" si="91"/>
        <v>0</v>
      </c>
      <c r="AQ87" s="102">
        <f t="shared" si="91"/>
        <v>0</v>
      </c>
      <c r="AR87" s="102">
        <f t="shared" si="91"/>
        <v>0</v>
      </c>
      <c r="AS87" s="102">
        <f t="shared" si="91"/>
        <v>0</v>
      </c>
      <c r="AT87" s="102">
        <f t="shared" si="91"/>
        <v>0</v>
      </c>
      <c r="AU87" s="102"/>
      <c r="AV87" s="102"/>
      <c r="AW87" s="102"/>
      <c r="AX87" s="102"/>
      <c r="AY87" s="102"/>
      <c r="AZ87" s="102"/>
      <c r="BA87" s="102"/>
      <c r="BB87" s="102"/>
      <c r="BC87" s="102"/>
      <c r="BD87" s="102"/>
      <c r="BE87" s="102"/>
      <c r="BF87" s="102"/>
      <c r="BG87" s="102"/>
      <c r="BH87" s="102"/>
      <c r="BI87" s="102"/>
    </row>
    <row r="88" spans="1:61" s="17" customFormat="1" hidden="1" outlineLevel="1" x14ac:dyDescent="0.25">
      <c r="A88" s="16"/>
      <c r="B88" s="101">
        <f t="shared" si="76"/>
        <v>0</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row>
    <row r="89" spans="1:61" hidden="1" outlineLevel="1" x14ac:dyDescent="0.25">
      <c r="A89" s="20" t="str">
        <f t="shared" ref="A89:A97" si="92">A79</f>
        <v>Debt Forecasted</v>
      </c>
      <c r="B89" s="101">
        <f t="shared" si="76"/>
        <v>0</v>
      </c>
      <c r="C89" s="102">
        <v>0</v>
      </c>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f>AF8</f>
        <v>0</v>
      </c>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row>
    <row r="90" spans="1:61" s="17" customFormat="1" hidden="1" outlineLevel="1" x14ac:dyDescent="0.25">
      <c r="A90" s="16" t="str">
        <f t="shared" si="92"/>
        <v>Principal</v>
      </c>
      <c r="B90" s="101">
        <f t="shared" si="76"/>
        <v>0</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f t="shared" ref="AF90:AU91" si="93">+AF94-AF92</f>
        <v>0</v>
      </c>
      <c r="AG90" s="102">
        <f t="shared" si="93"/>
        <v>0</v>
      </c>
      <c r="AH90" s="102">
        <f t="shared" si="93"/>
        <v>0</v>
      </c>
      <c r="AI90" s="102">
        <f t="shared" si="93"/>
        <v>0</v>
      </c>
      <c r="AJ90" s="102">
        <f t="shared" si="93"/>
        <v>0</v>
      </c>
      <c r="AK90" s="102">
        <f t="shared" si="93"/>
        <v>0</v>
      </c>
      <c r="AL90" s="102">
        <f t="shared" si="93"/>
        <v>0</v>
      </c>
      <c r="AM90" s="102">
        <f t="shared" si="93"/>
        <v>0</v>
      </c>
      <c r="AN90" s="102">
        <f t="shared" si="93"/>
        <v>0</v>
      </c>
      <c r="AO90" s="102">
        <f t="shared" si="93"/>
        <v>0</v>
      </c>
      <c r="AP90" s="102">
        <f t="shared" si="93"/>
        <v>0</v>
      </c>
      <c r="AQ90" s="102">
        <f t="shared" si="93"/>
        <v>0</v>
      </c>
      <c r="AR90" s="102">
        <f t="shared" si="93"/>
        <v>0</v>
      </c>
      <c r="AS90" s="102">
        <f t="shared" si="93"/>
        <v>0</v>
      </c>
      <c r="AT90" s="102">
        <f t="shared" si="93"/>
        <v>0</v>
      </c>
      <c r="AU90" s="102">
        <f t="shared" si="93"/>
        <v>0</v>
      </c>
      <c r="AV90" s="102"/>
      <c r="AW90" s="102"/>
      <c r="AX90" s="102"/>
      <c r="AY90" s="102"/>
      <c r="AZ90" s="102"/>
      <c r="BA90" s="102"/>
      <c r="BB90" s="102"/>
      <c r="BC90" s="102"/>
      <c r="BD90" s="102"/>
      <c r="BE90" s="102"/>
      <c r="BF90" s="102"/>
      <c r="BG90" s="102"/>
      <c r="BH90" s="102"/>
      <c r="BI90" s="102"/>
    </row>
    <row r="91" spans="1:61" s="17" customFormat="1" hidden="1" outlineLevel="1" x14ac:dyDescent="0.25">
      <c r="A91" s="16" t="str">
        <f t="shared" si="92"/>
        <v>Principal</v>
      </c>
      <c r="B91" s="101">
        <f t="shared" si="76"/>
        <v>0</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f t="shared" si="93"/>
        <v>0</v>
      </c>
      <c r="AH91" s="102">
        <f t="shared" si="93"/>
        <v>0</v>
      </c>
      <c r="AI91" s="102">
        <f t="shared" si="93"/>
        <v>0</v>
      </c>
      <c r="AJ91" s="102">
        <f t="shared" si="93"/>
        <v>0</v>
      </c>
      <c r="AK91" s="102">
        <f t="shared" si="93"/>
        <v>0</v>
      </c>
      <c r="AL91" s="102">
        <f t="shared" si="93"/>
        <v>0</v>
      </c>
      <c r="AM91" s="102">
        <f t="shared" si="93"/>
        <v>0</v>
      </c>
      <c r="AN91" s="102">
        <f t="shared" si="93"/>
        <v>0</v>
      </c>
      <c r="AO91" s="102">
        <f t="shared" si="93"/>
        <v>0</v>
      </c>
      <c r="AP91" s="102">
        <f t="shared" si="93"/>
        <v>0</v>
      </c>
      <c r="AQ91" s="102">
        <f t="shared" si="93"/>
        <v>0</v>
      </c>
      <c r="AR91" s="102">
        <f t="shared" si="93"/>
        <v>0</v>
      </c>
      <c r="AS91" s="102">
        <f t="shared" si="93"/>
        <v>0</v>
      </c>
      <c r="AT91" s="102">
        <f t="shared" si="93"/>
        <v>0</v>
      </c>
      <c r="AU91" s="102">
        <f t="shared" si="93"/>
        <v>0</v>
      </c>
      <c r="AV91" s="102"/>
      <c r="AW91" s="102"/>
      <c r="AX91" s="102"/>
      <c r="AY91" s="102"/>
      <c r="AZ91" s="102"/>
      <c r="BA91" s="102"/>
      <c r="BB91" s="102"/>
      <c r="BC91" s="102"/>
      <c r="BD91" s="102"/>
      <c r="BE91" s="102"/>
      <c r="BF91" s="102"/>
      <c r="BG91" s="102"/>
      <c r="BH91" s="102"/>
      <c r="BI91" s="102"/>
    </row>
    <row r="92" spans="1:61" s="17" customFormat="1" hidden="1" outlineLevel="1" x14ac:dyDescent="0.25">
      <c r="A92" s="16" t="str">
        <f t="shared" si="92"/>
        <v>Interest</v>
      </c>
      <c r="B92" s="101">
        <f t="shared" si="76"/>
        <v>0</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f>AF89*AF9/2</f>
        <v>0</v>
      </c>
      <c r="AG92" s="102">
        <f>+AF97*$AF$9/2</f>
        <v>0</v>
      </c>
      <c r="AH92" s="102">
        <f t="shared" ref="AH92:AU92" si="94">+AG97*$AF$9/2</f>
        <v>0</v>
      </c>
      <c r="AI92" s="102">
        <f t="shared" si="94"/>
        <v>0</v>
      </c>
      <c r="AJ92" s="102">
        <f t="shared" si="94"/>
        <v>0</v>
      </c>
      <c r="AK92" s="102">
        <f t="shared" si="94"/>
        <v>0</v>
      </c>
      <c r="AL92" s="102">
        <f t="shared" si="94"/>
        <v>0</v>
      </c>
      <c r="AM92" s="102">
        <f t="shared" si="94"/>
        <v>0</v>
      </c>
      <c r="AN92" s="102">
        <f t="shared" si="94"/>
        <v>0</v>
      </c>
      <c r="AO92" s="102">
        <f t="shared" si="94"/>
        <v>0</v>
      </c>
      <c r="AP92" s="102">
        <f t="shared" si="94"/>
        <v>0</v>
      </c>
      <c r="AQ92" s="102">
        <f t="shared" si="94"/>
        <v>0</v>
      </c>
      <c r="AR92" s="102">
        <f t="shared" si="94"/>
        <v>0</v>
      </c>
      <c r="AS92" s="102">
        <f t="shared" si="94"/>
        <v>0</v>
      </c>
      <c r="AT92" s="102">
        <f t="shared" si="94"/>
        <v>0</v>
      </c>
      <c r="AU92" s="102">
        <f t="shared" si="94"/>
        <v>0</v>
      </c>
      <c r="AV92" s="102"/>
      <c r="AW92" s="102"/>
      <c r="AX92" s="102"/>
      <c r="AY92" s="102"/>
      <c r="AZ92" s="102"/>
      <c r="BA92" s="102"/>
      <c r="BB92" s="102"/>
      <c r="BC92" s="102"/>
      <c r="BD92" s="102"/>
      <c r="BE92" s="102"/>
      <c r="BF92" s="102"/>
      <c r="BG92" s="102"/>
      <c r="BH92" s="102"/>
      <c r="BI92" s="102"/>
    </row>
    <row r="93" spans="1:61" s="17" customFormat="1" hidden="1" outlineLevel="1" x14ac:dyDescent="0.25">
      <c r="A93" s="16" t="str">
        <f t="shared" si="92"/>
        <v>Interest</v>
      </c>
      <c r="B93" s="101">
        <f t="shared" si="76"/>
        <v>0</v>
      </c>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f>+AG96*$AF$9/2</f>
        <v>0</v>
      </c>
      <c r="AH93" s="102">
        <f t="shared" ref="AH93:AU93" si="95">+AH96*$AF$9/2</f>
        <v>0</v>
      </c>
      <c r="AI93" s="102">
        <f t="shared" si="95"/>
        <v>0</v>
      </c>
      <c r="AJ93" s="102">
        <f t="shared" si="95"/>
        <v>0</v>
      </c>
      <c r="AK93" s="102">
        <f t="shared" si="95"/>
        <v>0</v>
      </c>
      <c r="AL93" s="102">
        <f t="shared" si="95"/>
        <v>0</v>
      </c>
      <c r="AM93" s="102">
        <f t="shared" si="95"/>
        <v>0</v>
      </c>
      <c r="AN93" s="102">
        <f t="shared" si="95"/>
        <v>0</v>
      </c>
      <c r="AO93" s="102">
        <f t="shared" si="95"/>
        <v>0</v>
      </c>
      <c r="AP93" s="102">
        <f t="shared" si="95"/>
        <v>0</v>
      </c>
      <c r="AQ93" s="102">
        <f t="shared" si="95"/>
        <v>0</v>
      </c>
      <c r="AR93" s="102">
        <f t="shared" si="95"/>
        <v>0</v>
      </c>
      <c r="AS93" s="102">
        <f t="shared" si="95"/>
        <v>0</v>
      </c>
      <c r="AT93" s="102">
        <f t="shared" si="95"/>
        <v>0</v>
      </c>
      <c r="AU93" s="102">
        <f t="shared" si="95"/>
        <v>0</v>
      </c>
      <c r="AV93" s="102"/>
      <c r="AW93" s="102"/>
      <c r="AX93" s="102"/>
      <c r="AY93" s="102"/>
      <c r="AZ93" s="102"/>
      <c r="BA93" s="102"/>
      <c r="BB93" s="102"/>
      <c r="BC93" s="102"/>
      <c r="BD93" s="102"/>
      <c r="BE93" s="102"/>
      <c r="BF93" s="102"/>
      <c r="BG93" s="102"/>
      <c r="BH93" s="102"/>
      <c r="BI93" s="102"/>
    </row>
    <row r="94" spans="1:61" s="17" customFormat="1" hidden="1" outlineLevel="1" x14ac:dyDescent="0.25">
      <c r="A94" s="16" t="str">
        <f t="shared" si="92"/>
        <v xml:space="preserve">Debt Servicing </v>
      </c>
      <c r="B94" s="101">
        <f t="shared" si="76"/>
        <v>0</v>
      </c>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f>-PMT(AF9/2,AF10*2,AF8)</f>
        <v>0</v>
      </c>
      <c r="AG94" s="102">
        <f t="shared" ref="AG94:AU94" si="96">+AF94</f>
        <v>0</v>
      </c>
      <c r="AH94" s="102">
        <f t="shared" si="96"/>
        <v>0</v>
      </c>
      <c r="AI94" s="102">
        <f t="shared" si="96"/>
        <v>0</v>
      </c>
      <c r="AJ94" s="102">
        <f t="shared" si="96"/>
        <v>0</v>
      </c>
      <c r="AK94" s="102">
        <f t="shared" si="96"/>
        <v>0</v>
      </c>
      <c r="AL94" s="102">
        <f t="shared" si="96"/>
        <v>0</v>
      </c>
      <c r="AM94" s="102">
        <f t="shared" si="96"/>
        <v>0</v>
      </c>
      <c r="AN94" s="102">
        <f t="shared" si="96"/>
        <v>0</v>
      </c>
      <c r="AO94" s="102">
        <f t="shared" si="96"/>
        <v>0</v>
      </c>
      <c r="AP94" s="102">
        <f t="shared" si="96"/>
        <v>0</v>
      </c>
      <c r="AQ94" s="102">
        <f t="shared" si="96"/>
        <v>0</v>
      </c>
      <c r="AR94" s="102">
        <f t="shared" si="96"/>
        <v>0</v>
      </c>
      <c r="AS94" s="102">
        <f t="shared" si="96"/>
        <v>0</v>
      </c>
      <c r="AT94" s="102">
        <f t="shared" si="96"/>
        <v>0</v>
      </c>
      <c r="AU94" s="102">
        <f t="shared" si="96"/>
        <v>0</v>
      </c>
      <c r="AV94" s="102"/>
      <c r="AW94" s="102"/>
      <c r="AX94" s="102"/>
      <c r="AY94" s="102"/>
      <c r="AZ94" s="102"/>
      <c r="BA94" s="102"/>
      <c r="BB94" s="102"/>
      <c r="BC94" s="102"/>
      <c r="BD94" s="102"/>
      <c r="BE94" s="102"/>
      <c r="BF94" s="102"/>
      <c r="BG94" s="102"/>
      <c r="BH94" s="102"/>
      <c r="BI94" s="102"/>
    </row>
    <row r="95" spans="1:61" s="17" customFormat="1" hidden="1" outlineLevel="1" x14ac:dyDescent="0.25">
      <c r="A95" s="16" t="str">
        <f t="shared" si="92"/>
        <v xml:space="preserve">Debt Servicing </v>
      </c>
      <c r="B95" s="101">
        <f t="shared" si="76"/>
        <v>0</v>
      </c>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f t="shared" ref="AG95:AT95" si="97">+AG94</f>
        <v>0</v>
      </c>
      <c r="AH95" s="102">
        <f t="shared" si="97"/>
        <v>0</v>
      </c>
      <c r="AI95" s="102">
        <f t="shared" si="97"/>
        <v>0</v>
      </c>
      <c r="AJ95" s="102">
        <f t="shared" si="97"/>
        <v>0</v>
      </c>
      <c r="AK95" s="102">
        <f t="shared" si="97"/>
        <v>0</v>
      </c>
      <c r="AL95" s="102">
        <f t="shared" si="97"/>
        <v>0</v>
      </c>
      <c r="AM95" s="102">
        <f t="shared" si="97"/>
        <v>0</v>
      </c>
      <c r="AN95" s="102">
        <f t="shared" si="97"/>
        <v>0</v>
      </c>
      <c r="AO95" s="102">
        <f t="shared" si="97"/>
        <v>0</v>
      </c>
      <c r="AP95" s="102">
        <f t="shared" si="97"/>
        <v>0</v>
      </c>
      <c r="AQ95" s="102">
        <f t="shared" si="97"/>
        <v>0</v>
      </c>
      <c r="AR95" s="102">
        <f t="shared" si="97"/>
        <v>0</v>
      </c>
      <c r="AS95" s="102">
        <f t="shared" si="97"/>
        <v>0</v>
      </c>
      <c r="AT95" s="102">
        <f t="shared" si="97"/>
        <v>0</v>
      </c>
      <c r="AU95" s="102"/>
      <c r="AV95" s="102"/>
      <c r="AW95" s="102"/>
      <c r="AX95" s="102"/>
      <c r="AY95" s="102"/>
      <c r="AZ95" s="102"/>
      <c r="BA95" s="102"/>
      <c r="BB95" s="102"/>
      <c r="BC95" s="102"/>
      <c r="BD95" s="102"/>
      <c r="BE95" s="102"/>
      <c r="BF95" s="102"/>
      <c r="BG95" s="102"/>
      <c r="BH95" s="102"/>
      <c r="BI95" s="102"/>
    </row>
    <row r="96" spans="1:61" s="17" customFormat="1" hidden="1" outlineLevel="1" x14ac:dyDescent="0.25">
      <c r="A96" s="16" t="str">
        <f t="shared" si="92"/>
        <v>Balance mid year</v>
      </c>
      <c r="B96" s="101">
        <f t="shared" si="76"/>
        <v>0</v>
      </c>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f t="shared" ref="AG96:AU96" si="98">+AF97-AG90</f>
        <v>0</v>
      </c>
      <c r="AH96" s="102">
        <f t="shared" si="98"/>
        <v>0</v>
      </c>
      <c r="AI96" s="102">
        <f t="shared" si="98"/>
        <v>0</v>
      </c>
      <c r="AJ96" s="102">
        <f t="shared" si="98"/>
        <v>0</v>
      </c>
      <c r="AK96" s="102">
        <f t="shared" si="98"/>
        <v>0</v>
      </c>
      <c r="AL96" s="102">
        <f t="shared" si="98"/>
        <v>0</v>
      </c>
      <c r="AM96" s="102">
        <f t="shared" si="98"/>
        <v>0</v>
      </c>
      <c r="AN96" s="102">
        <f t="shared" si="98"/>
        <v>0</v>
      </c>
      <c r="AO96" s="102">
        <f t="shared" si="98"/>
        <v>0</v>
      </c>
      <c r="AP96" s="102">
        <f t="shared" si="98"/>
        <v>0</v>
      </c>
      <c r="AQ96" s="102">
        <f t="shared" si="98"/>
        <v>0</v>
      </c>
      <c r="AR96" s="102">
        <f t="shared" si="98"/>
        <v>0</v>
      </c>
      <c r="AS96" s="102">
        <f t="shared" si="98"/>
        <v>0</v>
      </c>
      <c r="AT96" s="102">
        <f t="shared" si="98"/>
        <v>0</v>
      </c>
      <c r="AU96" s="102">
        <f t="shared" si="98"/>
        <v>0</v>
      </c>
      <c r="AV96" s="102"/>
      <c r="AW96" s="102"/>
      <c r="AX96" s="102"/>
      <c r="AY96" s="102"/>
      <c r="AZ96" s="102"/>
      <c r="BA96" s="102"/>
      <c r="BB96" s="102"/>
      <c r="BC96" s="102"/>
      <c r="BD96" s="102"/>
      <c r="BE96" s="102"/>
      <c r="BF96" s="102"/>
      <c r="BG96" s="102"/>
      <c r="BH96" s="102"/>
      <c r="BI96" s="102"/>
    </row>
    <row r="97" spans="1:61" s="17" customFormat="1" hidden="1" outlineLevel="1" x14ac:dyDescent="0.25">
      <c r="A97" s="16" t="str">
        <f t="shared" si="92"/>
        <v>Balance</v>
      </c>
      <c r="B97" s="101">
        <f t="shared" si="76"/>
        <v>0</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f>AF89-AF90</f>
        <v>0</v>
      </c>
      <c r="AG97" s="102">
        <f t="shared" ref="AG97:AU97" si="99">+AG96-AG91</f>
        <v>0</v>
      </c>
      <c r="AH97" s="102">
        <f t="shared" si="99"/>
        <v>0</v>
      </c>
      <c r="AI97" s="102">
        <f t="shared" si="99"/>
        <v>0</v>
      </c>
      <c r="AJ97" s="102">
        <f t="shared" si="99"/>
        <v>0</v>
      </c>
      <c r="AK97" s="102">
        <f t="shared" si="99"/>
        <v>0</v>
      </c>
      <c r="AL97" s="102">
        <f t="shared" si="99"/>
        <v>0</v>
      </c>
      <c r="AM97" s="102">
        <f t="shared" si="99"/>
        <v>0</v>
      </c>
      <c r="AN97" s="102">
        <f t="shared" si="99"/>
        <v>0</v>
      </c>
      <c r="AO97" s="102">
        <f t="shared" si="99"/>
        <v>0</v>
      </c>
      <c r="AP97" s="102">
        <f t="shared" si="99"/>
        <v>0</v>
      </c>
      <c r="AQ97" s="102">
        <f t="shared" si="99"/>
        <v>0</v>
      </c>
      <c r="AR97" s="102">
        <f t="shared" si="99"/>
        <v>0</v>
      </c>
      <c r="AS97" s="102">
        <f t="shared" si="99"/>
        <v>0</v>
      </c>
      <c r="AT97" s="102">
        <f t="shared" si="99"/>
        <v>0</v>
      </c>
      <c r="AU97" s="102">
        <f t="shared" si="99"/>
        <v>0</v>
      </c>
      <c r="AV97" s="102"/>
      <c r="AW97" s="102"/>
      <c r="AX97" s="102"/>
      <c r="AY97" s="102"/>
      <c r="AZ97" s="102"/>
      <c r="BA97" s="102"/>
      <c r="BB97" s="102"/>
      <c r="BC97" s="102"/>
      <c r="BD97" s="102"/>
      <c r="BE97" s="102"/>
      <c r="BF97" s="102"/>
      <c r="BG97" s="102"/>
      <c r="BH97" s="102"/>
      <c r="BI97" s="102"/>
    </row>
    <row r="98" spans="1:61" s="17" customFormat="1" hidden="1" outlineLevel="1" x14ac:dyDescent="0.25">
      <c r="A98" s="16"/>
      <c r="B98" s="101"/>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row>
    <row r="99" spans="1:61" hidden="1" outlineLevel="1" x14ac:dyDescent="0.25">
      <c r="A99" s="20" t="str">
        <f t="shared" ref="A99:A107" si="100">A89</f>
        <v>Debt Forecasted</v>
      </c>
      <c r="B99" s="101">
        <f t="shared" ref="B99:B117" si="101">SUM(C99:BB99)</f>
        <v>0</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f>AG8</f>
        <v>0</v>
      </c>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row>
    <row r="100" spans="1:61" s="17" customFormat="1" hidden="1" outlineLevel="1" x14ac:dyDescent="0.25">
      <c r="A100" s="16" t="str">
        <f t="shared" si="100"/>
        <v>Principal</v>
      </c>
      <c r="B100" s="101">
        <f t="shared" si="101"/>
        <v>0</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f t="shared" ref="AG100:AV101" si="102">+AG104-AG102</f>
        <v>0</v>
      </c>
      <c r="AH100" s="102">
        <f t="shared" si="102"/>
        <v>0</v>
      </c>
      <c r="AI100" s="102">
        <f t="shared" si="102"/>
        <v>0</v>
      </c>
      <c r="AJ100" s="102">
        <f t="shared" si="102"/>
        <v>0</v>
      </c>
      <c r="AK100" s="102">
        <f t="shared" si="102"/>
        <v>0</v>
      </c>
      <c r="AL100" s="102">
        <f t="shared" si="102"/>
        <v>0</v>
      </c>
      <c r="AM100" s="102">
        <f t="shared" si="102"/>
        <v>0</v>
      </c>
      <c r="AN100" s="102">
        <f t="shared" si="102"/>
        <v>0</v>
      </c>
      <c r="AO100" s="102">
        <f t="shared" si="102"/>
        <v>0</v>
      </c>
      <c r="AP100" s="102">
        <f t="shared" si="102"/>
        <v>0</v>
      </c>
      <c r="AQ100" s="102">
        <f t="shared" si="102"/>
        <v>0</v>
      </c>
      <c r="AR100" s="102">
        <f t="shared" si="102"/>
        <v>0</v>
      </c>
      <c r="AS100" s="102">
        <f t="shared" si="102"/>
        <v>0</v>
      </c>
      <c r="AT100" s="102">
        <f t="shared" si="102"/>
        <v>0</v>
      </c>
      <c r="AU100" s="102">
        <f t="shared" si="102"/>
        <v>0</v>
      </c>
      <c r="AV100" s="102">
        <f t="shared" si="102"/>
        <v>0</v>
      </c>
      <c r="AW100" s="102"/>
      <c r="AX100" s="102"/>
      <c r="AY100" s="102"/>
      <c r="AZ100" s="102"/>
      <c r="BA100" s="102"/>
      <c r="BB100" s="102"/>
      <c r="BC100" s="102"/>
      <c r="BD100" s="102"/>
      <c r="BE100" s="102"/>
      <c r="BF100" s="102"/>
      <c r="BG100" s="102"/>
      <c r="BH100" s="102"/>
      <c r="BI100" s="102"/>
    </row>
    <row r="101" spans="1:61" s="17" customFormat="1" hidden="1" outlineLevel="1" x14ac:dyDescent="0.25">
      <c r="A101" s="16" t="str">
        <f t="shared" si="100"/>
        <v>Principal</v>
      </c>
      <c r="B101" s="101">
        <f t="shared" si="101"/>
        <v>0</v>
      </c>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f t="shared" si="102"/>
        <v>0</v>
      </c>
      <c r="AI101" s="102">
        <f t="shared" si="102"/>
        <v>0</v>
      </c>
      <c r="AJ101" s="102">
        <f t="shared" si="102"/>
        <v>0</v>
      </c>
      <c r="AK101" s="102">
        <f t="shared" si="102"/>
        <v>0</v>
      </c>
      <c r="AL101" s="102">
        <f t="shared" si="102"/>
        <v>0</v>
      </c>
      <c r="AM101" s="102">
        <f t="shared" si="102"/>
        <v>0</v>
      </c>
      <c r="AN101" s="102">
        <f t="shared" si="102"/>
        <v>0</v>
      </c>
      <c r="AO101" s="102">
        <f t="shared" si="102"/>
        <v>0</v>
      </c>
      <c r="AP101" s="102">
        <f t="shared" si="102"/>
        <v>0</v>
      </c>
      <c r="AQ101" s="102">
        <f t="shared" si="102"/>
        <v>0</v>
      </c>
      <c r="AR101" s="102">
        <f t="shared" si="102"/>
        <v>0</v>
      </c>
      <c r="AS101" s="102">
        <f t="shared" si="102"/>
        <v>0</v>
      </c>
      <c r="AT101" s="102">
        <f t="shared" si="102"/>
        <v>0</v>
      </c>
      <c r="AU101" s="102">
        <f t="shared" si="102"/>
        <v>0</v>
      </c>
      <c r="AV101" s="102">
        <f t="shared" si="102"/>
        <v>0</v>
      </c>
      <c r="AW101" s="102"/>
      <c r="AX101" s="102"/>
      <c r="AY101" s="102"/>
      <c r="AZ101" s="102"/>
      <c r="BA101" s="102"/>
      <c r="BB101" s="102"/>
      <c r="BC101" s="102"/>
      <c r="BD101" s="102"/>
      <c r="BE101" s="102"/>
      <c r="BF101" s="102"/>
      <c r="BG101" s="102"/>
      <c r="BH101" s="102"/>
      <c r="BI101" s="102"/>
    </row>
    <row r="102" spans="1:61" s="17" customFormat="1" hidden="1" outlineLevel="1" x14ac:dyDescent="0.25">
      <c r="A102" s="16" t="str">
        <f t="shared" si="100"/>
        <v>Interest</v>
      </c>
      <c r="B102" s="101">
        <f t="shared" si="101"/>
        <v>0</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f>AG8*AG9/2</f>
        <v>0</v>
      </c>
      <c r="AH102" s="102">
        <f>+AG107*$AG$9/2</f>
        <v>0</v>
      </c>
      <c r="AI102" s="102">
        <f t="shared" ref="AI102:AV102" si="103">+AH107*$AG$9/2</f>
        <v>0</v>
      </c>
      <c r="AJ102" s="102">
        <f t="shared" si="103"/>
        <v>0</v>
      </c>
      <c r="AK102" s="102">
        <f t="shared" si="103"/>
        <v>0</v>
      </c>
      <c r="AL102" s="102">
        <f t="shared" si="103"/>
        <v>0</v>
      </c>
      <c r="AM102" s="102">
        <f t="shared" si="103"/>
        <v>0</v>
      </c>
      <c r="AN102" s="102">
        <f t="shared" si="103"/>
        <v>0</v>
      </c>
      <c r="AO102" s="102">
        <f t="shared" si="103"/>
        <v>0</v>
      </c>
      <c r="AP102" s="102">
        <f t="shared" si="103"/>
        <v>0</v>
      </c>
      <c r="AQ102" s="102">
        <f t="shared" si="103"/>
        <v>0</v>
      </c>
      <c r="AR102" s="102">
        <f t="shared" si="103"/>
        <v>0</v>
      </c>
      <c r="AS102" s="102">
        <f t="shared" si="103"/>
        <v>0</v>
      </c>
      <c r="AT102" s="102">
        <f t="shared" si="103"/>
        <v>0</v>
      </c>
      <c r="AU102" s="102">
        <f t="shared" si="103"/>
        <v>0</v>
      </c>
      <c r="AV102" s="102">
        <f t="shared" si="103"/>
        <v>0</v>
      </c>
      <c r="AW102" s="102"/>
      <c r="AX102" s="102"/>
      <c r="AY102" s="102"/>
      <c r="AZ102" s="102"/>
      <c r="BA102" s="102"/>
      <c r="BB102" s="102"/>
      <c r="BC102" s="102"/>
      <c r="BD102" s="102"/>
      <c r="BE102" s="102"/>
      <c r="BF102" s="102"/>
      <c r="BG102" s="102"/>
      <c r="BH102" s="102"/>
      <c r="BI102" s="102"/>
    </row>
    <row r="103" spans="1:61" s="17" customFormat="1" hidden="1" outlineLevel="1" x14ac:dyDescent="0.25">
      <c r="A103" s="16" t="str">
        <f t="shared" si="100"/>
        <v>Interest</v>
      </c>
      <c r="B103" s="101">
        <f t="shared" si="101"/>
        <v>0</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f>+AH106*$AG$9/2</f>
        <v>0</v>
      </c>
      <c r="AI103" s="102">
        <f t="shared" ref="AI103:AV103" si="104">+AI106*$AG$9/2</f>
        <v>0</v>
      </c>
      <c r="AJ103" s="102">
        <f t="shared" si="104"/>
        <v>0</v>
      </c>
      <c r="AK103" s="102">
        <f t="shared" si="104"/>
        <v>0</v>
      </c>
      <c r="AL103" s="102">
        <f t="shared" si="104"/>
        <v>0</v>
      </c>
      <c r="AM103" s="102">
        <f t="shared" si="104"/>
        <v>0</v>
      </c>
      <c r="AN103" s="102">
        <f t="shared" si="104"/>
        <v>0</v>
      </c>
      <c r="AO103" s="102">
        <f t="shared" si="104"/>
        <v>0</v>
      </c>
      <c r="AP103" s="102">
        <f t="shared" si="104"/>
        <v>0</v>
      </c>
      <c r="AQ103" s="102">
        <f t="shared" si="104"/>
        <v>0</v>
      </c>
      <c r="AR103" s="102">
        <f t="shared" si="104"/>
        <v>0</v>
      </c>
      <c r="AS103" s="102">
        <f t="shared" si="104"/>
        <v>0</v>
      </c>
      <c r="AT103" s="102">
        <f t="shared" si="104"/>
        <v>0</v>
      </c>
      <c r="AU103" s="102">
        <f t="shared" si="104"/>
        <v>0</v>
      </c>
      <c r="AV103" s="102">
        <f t="shared" si="104"/>
        <v>0</v>
      </c>
      <c r="AW103" s="102"/>
      <c r="AX103" s="102"/>
      <c r="AY103" s="102"/>
      <c r="AZ103" s="102"/>
      <c r="BA103" s="102"/>
      <c r="BB103" s="102"/>
      <c r="BC103" s="102"/>
      <c r="BD103" s="102"/>
      <c r="BE103" s="102"/>
      <c r="BF103" s="102"/>
      <c r="BG103" s="102"/>
      <c r="BH103" s="102"/>
      <c r="BI103" s="102"/>
    </row>
    <row r="104" spans="1:61" s="17" customFormat="1" hidden="1" outlineLevel="1" x14ac:dyDescent="0.25">
      <c r="A104" s="16" t="str">
        <f t="shared" si="100"/>
        <v xml:space="preserve">Debt Servicing </v>
      </c>
      <c r="B104" s="101">
        <f t="shared" si="101"/>
        <v>0</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f>-PMT(AG9/2,AG10*2,AG8)</f>
        <v>0</v>
      </c>
      <c r="AH104" s="102">
        <f t="shared" ref="AH104:AV104" si="105">+AG104</f>
        <v>0</v>
      </c>
      <c r="AI104" s="102">
        <f t="shared" si="105"/>
        <v>0</v>
      </c>
      <c r="AJ104" s="102">
        <f t="shared" si="105"/>
        <v>0</v>
      </c>
      <c r="AK104" s="102">
        <f t="shared" si="105"/>
        <v>0</v>
      </c>
      <c r="AL104" s="102">
        <f t="shared" si="105"/>
        <v>0</v>
      </c>
      <c r="AM104" s="102">
        <f t="shared" si="105"/>
        <v>0</v>
      </c>
      <c r="AN104" s="102">
        <f t="shared" si="105"/>
        <v>0</v>
      </c>
      <c r="AO104" s="102">
        <f t="shared" si="105"/>
        <v>0</v>
      </c>
      <c r="AP104" s="102">
        <f t="shared" si="105"/>
        <v>0</v>
      </c>
      <c r="AQ104" s="102">
        <f t="shared" si="105"/>
        <v>0</v>
      </c>
      <c r="AR104" s="102">
        <f t="shared" si="105"/>
        <v>0</v>
      </c>
      <c r="AS104" s="102">
        <f t="shared" si="105"/>
        <v>0</v>
      </c>
      <c r="AT104" s="102">
        <f t="shared" si="105"/>
        <v>0</v>
      </c>
      <c r="AU104" s="102">
        <f t="shared" si="105"/>
        <v>0</v>
      </c>
      <c r="AV104" s="102">
        <f t="shared" si="105"/>
        <v>0</v>
      </c>
      <c r="AW104" s="102"/>
      <c r="AX104" s="102"/>
      <c r="AY104" s="102"/>
      <c r="AZ104" s="102"/>
      <c r="BA104" s="102"/>
      <c r="BB104" s="102"/>
      <c r="BC104" s="102"/>
      <c r="BD104" s="102"/>
      <c r="BE104" s="102"/>
      <c r="BF104" s="102"/>
      <c r="BG104" s="102"/>
      <c r="BH104" s="102"/>
      <c r="BI104" s="102"/>
    </row>
    <row r="105" spans="1:61" s="17" customFormat="1" hidden="1" outlineLevel="1" x14ac:dyDescent="0.25">
      <c r="A105" s="16" t="str">
        <f t="shared" si="100"/>
        <v xml:space="preserve">Debt Servicing </v>
      </c>
      <c r="B105" s="101">
        <f t="shared" si="101"/>
        <v>0</v>
      </c>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f t="shared" ref="AH105:AU105" si="106">+AH104</f>
        <v>0</v>
      </c>
      <c r="AI105" s="102">
        <f t="shared" si="106"/>
        <v>0</v>
      </c>
      <c r="AJ105" s="102">
        <f t="shared" si="106"/>
        <v>0</v>
      </c>
      <c r="AK105" s="102">
        <f t="shared" si="106"/>
        <v>0</v>
      </c>
      <c r="AL105" s="102">
        <f t="shared" si="106"/>
        <v>0</v>
      </c>
      <c r="AM105" s="102">
        <f t="shared" si="106"/>
        <v>0</v>
      </c>
      <c r="AN105" s="102">
        <f t="shared" si="106"/>
        <v>0</v>
      </c>
      <c r="AO105" s="102">
        <f t="shared" si="106"/>
        <v>0</v>
      </c>
      <c r="AP105" s="102">
        <f t="shared" si="106"/>
        <v>0</v>
      </c>
      <c r="AQ105" s="102">
        <f t="shared" si="106"/>
        <v>0</v>
      </c>
      <c r="AR105" s="102">
        <f t="shared" si="106"/>
        <v>0</v>
      </c>
      <c r="AS105" s="102">
        <f t="shared" si="106"/>
        <v>0</v>
      </c>
      <c r="AT105" s="102">
        <f t="shared" si="106"/>
        <v>0</v>
      </c>
      <c r="AU105" s="102">
        <f t="shared" si="106"/>
        <v>0</v>
      </c>
      <c r="AV105" s="102"/>
      <c r="AW105" s="102"/>
      <c r="AX105" s="102"/>
      <c r="AY105" s="102"/>
      <c r="AZ105" s="102"/>
      <c r="BA105" s="102"/>
      <c r="BB105" s="102"/>
      <c r="BC105" s="102"/>
      <c r="BD105" s="102"/>
      <c r="BE105" s="102"/>
      <c r="BF105" s="102"/>
      <c r="BG105" s="102"/>
      <c r="BH105" s="102"/>
      <c r="BI105" s="102"/>
    </row>
    <row r="106" spans="1:61" s="17" customFormat="1" hidden="1" outlineLevel="1" x14ac:dyDescent="0.25">
      <c r="A106" s="16" t="str">
        <f t="shared" si="100"/>
        <v>Balance mid year</v>
      </c>
      <c r="B106" s="101">
        <f t="shared" si="101"/>
        <v>0</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f t="shared" ref="AH106:AV106" si="107">+AG107-AH100</f>
        <v>0</v>
      </c>
      <c r="AI106" s="102">
        <f t="shared" si="107"/>
        <v>0</v>
      </c>
      <c r="AJ106" s="102">
        <f t="shared" si="107"/>
        <v>0</v>
      </c>
      <c r="AK106" s="102">
        <f t="shared" si="107"/>
        <v>0</v>
      </c>
      <c r="AL106" s="102">
        <f t="shared" si="107"/>
        <v>0</v>
      </c>
      <c r="AM106" s="102">
        <f t="shared" si="107"/>
        <v>0</v>
      </c>
      <c r="AN106" s="102">
        <f t="shared" si="107"/>
        <v>0</v>
      </c>
      <c r="AO106" s="102">
        <f t="shared" si="107"/>
        <v>0</v>
      </c>
      <c r="AP106" s="102">
        <f t="shared" si="107"/>
        <v>0</v>
      </c>
      <c r="AQ106" s="102">
        <f t="shared" si="107"/>
        <v>0</v>
      </c>
      <c r="AR106" s="102">
        <f t="shared" si="107"/>
        <v>0</v>
      </c>
      <c r="AS106" s="102">
        <f t="shared" si="107"/>
        <v>0</v>
      </c>
      <c r="AT106" s="102">
        <f t="shared" si="107"/>
        <v>0</v>
      </c>
      <c r="AU106" s="102">
        <f t="shared" si="107"/>
        <v>0</v>
      </c>
      <c r="AV106" s="102">
        <f t="shared" si="107"/>
        <v>0</v>
      </c>
      <c r="AW106" s="102"/>
      <c r="AX106" s="102"/>
      <c r="AY106" s="102"/>
      <c r="AZ106" s="102"/>
      <c r="BA106" s="102"/>
      <c r="BB106" s="102"/>
      <c r="BC106" s="102"/>
      <c r="BD106" s="102"/>
      <c r="BE106" s="102"/>
      <c r="BF106" s="102"/>
      <c r="BG106" s="102"/>
      <c r="BH106" s="102"/>
      <c r="BI106" s="102"/>
    </row>
    <row r="107" spans="1:61" s="17" customFormat="1" hidden="1" outlineLevel="1" x14ac:dyDescent="0.25">
      <c r="A107" s="16" t="str">
        <f t="shared" si="100"/>
        <v>Balance</v>
      </c>
      <c r="B107" s="101">
        <f t="shared" si="101"/>
        <v>0</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f>AG99-AG100</f>
        <v>0</v>
      </c>
      <c r="AH107" s="102">
        <f t="shared" ref="AH107:AV107" si="108">+AH106-AH101</f>
        <v>0</v>
      </c>
      <c r="AI107" s="102">
        <f t="shared" si="108"/>
        <v>0</v>
      </c>
      <c r="AJ107" s="102">
        <f t="shared" si="108"/>
        <v>0</v>
      </c>
      <c r="AK107" s="102">
        <f t="shared" si="108"/>
        <v>0</v>
      </c>
      <c r="AL107" s="102">
        <f t="shared" si="108"/>
        <v>0</v>
      </c>
      <c r="AM107" s="102">
        <f t="shared" si="108"/>
        <v>0</v>
      </c>
      <c r="AN107" s="102">
        <f t="shared" si="108"/>
        <v>0</v>
      </c>
      <c r="AO107" s="102">
        <f t="shared" si="108"/>
        <v>0</v>
      </c>
      <c r="AP107" s="102">
        <f t="shared" si="108"/>
        <v>0</v>
      </c>
      <c r="AQ107" s="102">
        <f t="shared" si="108"/>
        <v>0</v>
      </c>
      <c r="AR107" s="102">
        <f t="shared" si="108"/>
        <v>0</v>
      </c>
      <c r="AS107" s="102">
        <f t="shared" si="108"/>
        <v>0</v>
      </c>
      <c r="AT107" s="102">
        <f t="shared" si="108"/>
        <v>0</v>
      </c>
      <c r="AU107" s="102">
        <f t="shared" si="108"/>
        <v>0</v>
      </c>
      <c r="AV107" s="102">
        <f t="shared" si="108"/>
        <v>0</v>
      </c>
      <c r="AW107" s="102"/>
      <c r="AX107" s="102"/>
      <c r="AY107" s="102"/>
      <c r="AZ107" s="102"/>
      <c r="BA107" s="102"/>
      <c r="BB107" s="102"/>
      <c r="BC107" s="102"/>
      <c r="BD107" s="102"/>
      <c r="BE107" s="102"/>
      <c r="BF107" s="102"/>
      <c r="BG107" s="102"/>
      <c r="BH107" s="102"/>
      <c r="BI107" s="102"/>
    </row>
    <row r="108" spans="1:61" s="17" customFormat="1" hidden="1" outlineLevel="1" x14ac:dyDescent="0.25">
      <c r="A108" s="16"/>
      <c r="B108" s="101">
        <f t="shared" si="101"/>
        <v>0</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row>
    <row r="109" spans="1:61" hidden="1" outlineLevel="1" x14ac:dyDescent="0.25">
      <c r="A109" s="20" t="str">
        <f t="shared" ref="A109:A117" si="109">A99</f>
        <v>Debt Forecasted</v>
      </c>
      <c r="B109" s="101">
        <f t="shared" si="101"/>
        <v>0</v>
      </c>
      <c r="C109" s="102">
        <v>0</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f>AH8</f>
        <v>0</v>
      </c>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row>
    <row r="110" spans="1:61" s="17" customFormat="1" hidden="1" outlineLevel="1" x14ac:dyDescent="0.25">
      <c r="A110" s="16" t="str">
        <f t="shared" si="109"/>
        <v>Principal</v>
      </c>
      <c r="B110" s="101">
        <f t="shared" si="101"/>
        <v>0</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f t="shared" ref="AH110:AW111" si="110">+AH114-AH112</f>
        <v>0</v>
      </c>
      <c r="AI110" s="102">
        <f t="shared" si="110"/>
        <v>0</v>
      </c>
      <c r="AJ110" s="102">
        <f t="shared" si="110"/>
        <v>0</v>
      </c>
      <c r="AK110" s="102">
        <f t="shared" si="110"/>
        <v>0</v>
      </c>
      <c r="AL110" s="102">
        <f t="shared" si="110"/>
        <v>0</v>
      </c>
      <c r="AM110" s="102">
        <f t="shared" si="110"/>
        <v>0</v>
      </c>
      <c r="AN110" s="102">
        <f t="shared" si="110"/>
        <v>0</v>
      </c>
      <c r="AO110" s="102">
        <f t="shared" si="110"/>
        <v>0</v>
      </c>
      <c r="AP110" s="102">
        <f t="shared" si="110"/>
        <v>0</v>
      </c>
      <c r="AQ110" s="102">
        <f t="shared" si="110"/>
        <v>0</v>
      </c>
      <c r="AR110" s="102">
        <f t="shared" si="110"/>
        <v>0</v>
      </c>
      <c r="AS110" s="102">
        <f t="shared" si="110"/>
        <v>0</v>
      </c>
      <c r="AT110" s="102">
        <f t="shared" si="110"/>
        <v>0</v>
      </c>
      <c r="AU110" s="102">
        <f t="shared" si="110"/>
        <v>0</v>
      </c>
      <c r="AV110" s="102">
        <f t="shared" si="110"/>
        <v>0</v>
      </c>
      <c r="AW110" s="102">
        <f t="shared" si="110"/>
        <v>0</v>
      </c>
      <c r="AX110" s="102"/>
      <c r="AY110" s="102"/>
      <c r="AZ110" s="102"/>
      <c r="BA110" s="102"/>
      <c r="BB110" s="102"/>
      <c r="BC110" s="102"/>
      <c r="BD110" s="102"/>
      <c r="BE110" s="102"/>
      <c r="BF110" s="102"/>
      <c r="BG110" s="102"/>
      <c r="BH110" s="102"/>
      <c r="BI110" s="102"/>
    </row>
    <row r="111" spans="1:61" s="17" customFormat="1" hidden="1" outlineLevel="1" x14ac:dyDescent="0.25">
      <c r="A111" s="16" t="str">
        <f t="shared" si="109"/>
        <v>Principal</v>
      </c>
      <c r="B111" s="101">
        <f t="shared" si="101"/>
        <v>0</v>
      </c>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f t="shared" si="110"/>
        <v>0</v>
      </c>
      <c r="AJ111" s="102">
        <f t="shared" si="110"/>
        <v>0</v>
      </c>
      <c r="AK111" s="102">
        <f t="shared" si="110"/>
        <v>0</v>
      </c>
      <c r="AL111" s="102">
        <f t="shared" si="110"/>
        <v>0</v>
      </c>
      <c r="AM111" s="102">
        <f t="shared" si="110"/>
        <v>0</v>
      </c>
      <c r="AN111" s="102">
        <f t="shared" si="110"/>
        <v>0</v>
      </c>
      <c r="AO111" s="102">
        <f t="shared" si="110"/>
        <v>0</v>
      </c>
      <c r="AP111" s="102">
        <f t="shared" si="110"/>
        <v>0</v>
      </c>
      <c r="AQ111" s="102">
        <f t="shared" si="110"/>
        <v>0</v>
      </c>
      <c r="AR111" s="102">
        <f t="shared" si="110"/>
        <v>0</v>
      </c>
      <c r="AS111" s="102">
        <f t="shared" si="110"/>
        <v>0</v>
      </c>
      <c r="AT111" s="102">
        <f t="shared" si="110"/>
        <v>0</v>
      </c>
      <c r="AU111" s="102">
        <f t="shared" si="110"/>
        <v>0</v>
      </c>
      <c r="AV111" s="102">
        <f t="shared" si="110"/>
        <v>0</v>
      </c>
      <c r="AW111" s="102">
        <f t="shared" si="110"/>
        <v>0</v>
      </c>
      <c r="AX111" s="102"/>
      <c r="AY111" s="102"/>
      <c r="AZ111" s="102"/>
      <c r="BA111" s="102"/>
      <c r="BB111" s="102"/>
      <c r="BC111" s="102"/>
      <c r="BD111" s="102"/>
      <c r="BE111" s="102"/>
      <c r="BF111" s="102"/>
      <c r="BG111" s="102"/>
      <c r="BH111" s="102"/>
      <c r="BI111" s="102"/>
    </row>
    <row r="112" spans="1:61" s="17" customFormat="1" hidden="1" outlineLevel="1" x14ac:dyDescent="0.25">
      <c r="A112" s="16" t="str">
        <f t="shared" si="109"/>
        <v>Interest</v>
      </c>
      <c r="B112" s="101">
        <f t="shared" si="101"/>
        <v>0</v>
      </c>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f>+AH109*AH9/2</f>
        <v>0</v>
      </c>
      <c r="AI112" s="102">
        <f>+AH117*$AH$9/2</f>
        <v>0</v>
      </c>
      <c r="AJ112" s="102">
        <f t="shared" ref="AJ112:AW112" si="111">+AI117*$AH$9/2</f>
        <v>0</v>
      </c>
      <c r="AK112" s="102">
        <f t="shared" si="111"/>
        <v>0</v>
      </c>
      <c r="AL112" s="102">
        <f t="shared" si="111"/>
        <v>0</v>
      </c>
      <c r="AM112" s="102">
        <f t="shared" si="111"/>
        <v>0</v>
      </c>
      <c r="AN112" s="102">
        <f t="shared" si="111"/>
        <v>0</v>
      </c>
      <c r="AO112" s="102">
        <f t="shared" si="111"/>
        <v>0</v>
      </c>
      <c r="AP112" s="102">
        <f t="shared" si="111"/>
        <v>0</v>
      </c>
      <c r="AQ112" s="102">
        <f t="shared" si="111"/>
        <v>0</v>
      </c>
      <c r="AR112" s="102">
        <f t="shared" si="111"/>
        <v>0</v>
      </c>
      <c r="AS112" s="102">
        <f t="shared" si="111"/>
        <v>0</v>
      </c>
      <c r="AT112" s="102">
        <f t="shared" si="111"/>
        <v>0</v>
      </c>
      <c r="AU112" s="102">
        <f t="shared" si="111"/>
        <v>0</v>
      </c>
      <c r="AV112" s="102">
        <f t="shared" si="111"/>
        <v>0</v>
      </c>
      <c r="AW112" s="102">
        <f t="shared" si="111"/>
        <v>0</v>
      </c>
      <c r="AX112" s="102"/>
      <c r="AY112" s="102"/>
      <c r="AZ112" s="102"/>
      <c r="BA112" s="102"/>
      <c r="BB112" s="102"/>
      <c r="BC112" s="102"/>
      <c r="BD112" s="102"/>
      <c r="BE112" s="102"/>
      <c r="BF112" s="102"/>
      <c r="BG112" s="102"/>
      <c r="BH112" s="102"/>
      <c r="BI112" s="102"/>
    </row>
    <row r="113" spans="1:61" s="17" customFormat="1" hidden="1" outlineLevel="1" x14ac:dyDescent="0.25">
      <c r="A113" s="16" t="str">
        <f t="shared" si="109"/>
        <v>Interest</v>
      </c>
      <c r="B113" s="101">
        <f t="shared" si="101"/>
        <v>0</v>
      </c>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f>+AI116*$AH$9/2</f>
        <v>0</v>
      </c>
      <c r="AJ113" s="102">
        <f t="shared" ref="AJ113:AW113" si="112">+AJ116*$AH$9/2</f>
        <v>0</v>
      </c>
      <c r="AK113" s="102">
        <f t="shared" si="112"/>
        <v>0</v>
      </c>
      <c r="AL113" s="102">
        <f t="shared" si="112"/>
        <v>0</v>
      </c>
      <c r="AM113" s="102">
        <f t="shared" si="112"/>
        <v>0</v>
      </c>
      <c r="AN113" s="102">
        <f t="shared" si="112"/>
        <v>0</v>
      </c>
      <c r="AO113" s="102">
        <f t="shared" si="112"/>
        <v>0</v>
      </c>
      <c r="AP113" s="102">
        <f t="shared" si="112"/>
        <v>0</v>
      </c>
      <c r="AQ113" s="102">
        <f t="shared" si="112"/>
        <v>0</v>
      </c>
      <c r="AR113" s="102">
        <f t="shared" si="112"/>
        <v>0</v>
      </c>
      <c r="AS113" s="102">
        <f t="shared" si="112"/>
        <v>0</v>
      </c>
      <c r="AT113" s="102">
        <f t="shared" si="112"/>
        <v>0</v>
      </c>
      <c r="AU113" s="102">
        <f t="shared" si="112"/>
        <v>0</v>
      </c>
      <c r="AV113" s="102">
        <f t="shared" si="112"/>
        <v>0</v>
      </c>
      <c r="AW113" s="102">
        <f t="shared" si="112"/>
        <v>0</v>
      </c>
      <c r="AX113" s="102"/>
      <c r="AY113" s="102"/>
      <c r="AZ113" s="102"/>
      <c r="BA113" s="102"/>
      <c r="BB113" s="102"/>
      <c r="BC113" s="102"/>
      <c r="BD113" s="102"/>
      <c r="BE113" s="102"/>
      <c r="BF113" s="102"/>
      <c r="BG113" s="102"/>
      <c r="BH113" s="102"/>
      <c r="BI113" s="102"/>
    </row>
    <row r="114" spans="1:61" s="17" customFormat="1" hidden="1" outlineLevel="1" x14ac:dyDescent="0.25">
      <c r="A114" s="16" t="str">
        <f t="shared" si="109"/>
        <v xml:space="preserve">Debt Servicing </v>
      </c>
      <c r="B114" s="101">
        <f t="shared" si="101"/>
        <v>0</v>
      </c>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f>-PMT(AH9/2,AH10*2,AH8)</f>
        <v>0</v>
      </c>
      <c r="AI114" s="102">
        <f t="shared" ref="AI114:AW114" si="113">+AH114</f>
        <v>0</v>
      </c>
      <c r="AJ114" s="102">
        <f t="shared" si="113"/>
        <v>0</v>
      </c>
      <c r="AK114" s="102">
        <f t="shared" si="113"/>
        <v>0</v>
      </c>
      <c r="AL114" s="102">
        <f t="shared" si="113"/>
        <v>0</v>
      </c>
      <c r="AM114" s="102">
        <f t="shared" si="113"/>
        <v>0</v>
      </c>
      <c r="AN114" s="102">
        <f t="shared" si="113"/>
        <v>0</v>
      </c>
      <c r="AO114" s="102">
        <f t="shared" si="113"/>
        <v>0</v>
      </c>
      <c r="AP114" s="102">
        <f t="shared" si="113"/>
        <v>0</v>
      </c>
      <c r="AQ114" s="102">
        <f t="shared" si="113"/>
        <v>0</v>
      </c>
      <c r="AR114" s="102">
        <f t="shared" si="113"/>
        <v>0</v>
      </c>
      <c r="AS114" s="102">
        <f t="shared" si="113"/>
        <v>0</v>
      </c>
      <c r="AT114" s="102">
        <f t="shared" si="113"/>
        <v>0</v>
      </c>
      <c r="AU114" s="102">
        <f t="shared" si="113"/>
        <v>0</v>
      </c>
      <c r="AV114" s="102">
        <f t="shared" si="113"/>
        <v>0</v>
      </c>
      <c r="AW114" s="102">
        <f t="shared" si="113"/>
        <v>0</v>
      </c>
      <c r="AX114" s="102"/>
      <c r="AY114" s="102"/>
      <c r="AZ114" s="102"/>
      <c r="BA114" s="102"/>
      <c r="BB114" s="102"/>
      <c r="BC114" s="102"/>
      <c r="BD114" s="102"/>
      <c r="BE114" s="102"/>
      <c r="BF114" s="102"/>
      <c r="BG114" s="102"/>
      <c r="BH114" s="102"/>
      <c r="BI114" s="102"/>
    </row>
    <row r="115" spans="1:61" s="17" customFormat="1" hidden="1" outlineLevel="1" x14ac:dyDescent="0.25">
      <c r="A115" s="16" t="str">
        <f t="shared" si="109"/>
        <v xml:space="preserve">Debt Servicing </v>
      </c>
      <c r="B115" s="101">
        <f t="shared" si="101"/>
        <v>0</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f t="shared" ref="AI115:AV115" si="114">+AI114</f>
        <v>0</v>
      </c>
      <c r="AJ115" s="102">
        <f t="shared" si="114"/>
        <v>0</v>
      </c>
      <c r="AK115" s="102">
        <f t="shared" si="114"/>
        <v>0</v>
      </c>
      <c r="AL115" s="102">
        <f t="shared" si="114"/>
        <v>0</v>
      </c>
      <c r="AM115" s="102">
        <f t="shared" si="114"/>
        <v>0</v>
      </c>
      <c r="AN115" s="102">
        <f t="shared" si="114"/>
        <v>0</v>
      </c>
      <c r="AO115" s="102">
        <f t="shared" si="114"/>
        <v>0</v>
      </c>
      <c r="AP115" s="102">
        <f t="shared" si="114"/>
        <v>0</v>
      </c>
      <c r="AQ115" s="102">
        <f t="shared" si="114"/>
        <v>0</v>
      </c>
      <c r="AR115" s="102">
        <f t="shared" si="114"/>
        <v>0</v>
      </c>
      <c r="AS115" s="102">
        <f t="shared" si="114"/>
        <v>0</v>
      </c>
      <c r="AT115" s="102">
        <f t="shared" si="114"/>
        <v>0</v>
      </c>
      <c r="AU115" s="102">
        <f t="shared" si="114"/>
        <v>0</v>
      </c>
      <c r="AV115" s="102">
        <f t="shared" si="114"/>
        <v>0</v>
      </c>
      <c r="AW115" s="102"/>
      <c r="AX115" s="102"/>
      <c r="AY115" s="102"/>
      <c r="AZ115" s="102"/>
      <c r="BA115" s="102"/>
      <c r="BB115" s="102"/>
      <c r="BC115" s="102"/>
      <c r="BD115" s="102"/>
      <c r="BE115" s="102"/>
      <c r="BF115" s="102"/>
      <c r="BG115" s="102"/>
      <c r="BH115" s="102"/>
      <c r="BI115" s="102"/>
    </row>
    <row r="116" spans="1:61" s="17" customFormat="1" hidden="1" outlineLevel="1" x14ac:dyDescent="0.25">
      <c r="A116" s="16" t="str">
        <f t="shared" si="109"/>
        <v>Balance mid year</v>
      </c>
      <c r="B116" s="101">
        <f t="shared" si="101"/>
        <v>0</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f t="shared" ref="AI116:AW116" si="115">+AH117-AI110</f>
        <v>0</v>
      </c>
      <c r="AJ116" s="102">
        <f t="shared" si="115"/>
        <v>0</v>
      </c>
      <c r="AK116" s="102">
        <f t="shared" si="115"/>
        <v>0</v>
      </c>
      <c r="AL116" s="102">
        <f t="shared" si="115"/>
        <v>0</v>
      </c>
      <c r="AM116" s="102">
        <f t="shared" si="115"/>
        <v>0</v>
      </c>
      <c r="AN116" s="102">
        <f t="shared" si="115"/>
        <v>0</v>
      </c>
      <c r="AO116" s="102">
        <f t="shared" si="115"/>
        <v>0</v>
      </c>
      <c r="AP116" s="102">
        <f t="shared" si="115"/>
        <v>0</v>
      </c>
      <c r="AQ116" s="102">
        <f t="shared" si="115"/>
        <v>0</v>
      </c>
      <c r="AR116" s="102">
        <f t="shared" si="115"/>
        <v>0</v>
      </c>
      <c r="AS116" s="102">
        <f t="shared" si="115"/>
        <v>0</v>
      </c>
      <c r="AT116" s="102">
        <f t="shared" si="115"/>
        <v>0</v>
      </c>
      <c r="AU116" s="102">
        <f t="shared" si="115"/>
        <v>0</v>
      </c>
      <c r="AV116" s="102">
        <f t="shared" si="115"/>
        <v>0</v>
      </c>
      <c r="AW116" s="102">
        <f t="shared" si="115"/>
        <v>0</v>
      </c>
      <c r="AX116" s="102"/>
      <c r="AY116" s="102"/>
      <c r="AZ116" s="102"/>
      <c r="BA116" s="102"/>
      <c r="BB116" s="102"/>
      <c r="BC116" s="102"/>
      <c r="BD116" s="102"/>
      <c r="BE116" s="102"/>
      <c r="BF116" s="102"/>
      <c r="BG116" s="102"/>
      <c r="BH116" s="102"/>
      <c r="BI116" s="102"/>
    </row>
    <row r="117" spans="1:61" s="17" customFormat="1" hidden="1" outlineLevel="1" x14ac:dyDescent="0.25">
      <c r="A117" s="16" t="str">
        <f t="shared" si="109"/>
        <v>Balance</v>
      </c>
      <c r="B117" s="101">
        <f t="shared" si="101"/>
        <v>0</v>
      </c>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f>AH109-AH110</f>
        <v>0</v>
      </c>
      <c r="AI117" s="102">
        <f t="shared" ref="AI117:AW117" si="116">+AI116-AI111</f>
        <v>0</v>
      </c>
      <c r="AJ117" s="102">
        <f t="shared" si="116"/>
        <v>0</v>
      </c>
      <c r="AK117" s="102">
        <f t="shared" si="116"/>
        <v>0</v>
      </c>
      <c r="AL117" s="102">
        <f t="shared" si="116"/>
        <v>0</v>
      </c>
      <c r="AM117" s="102">
        <f t="shared" si="116"/>
        <v>0</v>
      </c>
      <c r="AN117" s="102">
        <f t="shared" si="116"/>
        <v>0</v>
      </c>
      <c r="AO117" s="102">
        <f t="shared" si="116"/>
        <v>0</v>
      </c>
      <c r="AP117" s="102">
        <f t="shared" si="116"/>
        <v>0</v>
      </c>
      <c r="AQ117" s="102">
        <f t="shared" si="116"/>
        <v>0</v>
      </c>
      <c r="AR117" s="102">
        <f t="shared" si="116"/>
        <v>0</v>
      </c>
      <c r="AS117" s="102">
        <f t="shared" si="116"/>
        <v>0</v>
      </c>
      <c r="AT117" s="102">
        <f t="shared" si="116"/>
        <v>0</v>
      </c>
      <c r="AU117" s="102">
        <f t="shared" si="116"/>
        <v>0</v>
      </c>
      <c r="AV117" s="102">
        <f t="shared" si="116"/>
        <v>0</v>
      </c>
      <c r="AW117" s="102">
        <f t="shared" si="116"/>
        <v>0</v>
      </c>
      <c r="AX117" s="102"/>
      <c r="AY117" s="102"/>
      <c r="AZ117" s="102"/>
      <c r="BA117" s="102"/>
      <c r="BB117" s="102"/>
      <c r="BC117" s="102"/>
      <c r="BD117" s="102"/>
      <c r="BE117" s="102"/>
      <c r="BF117" s="102"/>
      <c r="BG117" s="102"/>
      <c r="BH117" s="102"/>
      <c r="BI117" s="102"/>
    </row>
    <row r="118" spans="1:61" s="17" customFormat="1" hidden="1" outlineLevel="1" x14ac:dyDescent="0.25">
      <c r="A118" s="16"/>
      <c r="B118" s="101"/>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row>
    <row r="119" spans="1:61" hidden="1" outlineLevel="1" x14ac:dyDescent="0.25">
      <c r="A119" s="20" t="s">
        <v>226</v>
      </c>
      <c r="B119" s="101">
        <f t="shared" ref="B119:B128" si="117">SUM(C119:BB119)</f>
        <v>0</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f>AI8</f>
        <v>0</v>
      </c>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row>
    <row r="120" spans="1:61" s="17" customFormat="1" hidden="1" outlineLevel="1" x14ac:dyDescent="0.25">
      <c r="A120" s="16" t="s">
        <v>163</v>
      </c>
      <c r="B120" s="101">
        <f t="shared" si="117"/>
        <v>0</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f t="shared" ref="AI120:AX121" si="118">+AI124-AI122</f>
        <v>0</v>
      </c>
      <c r="AJ120" s="102">
        <f t="shared" si="118"/>
        <v>0</v>
      </c>
      <c r="AK120" s="102">
        <f t="shared" si="118"/>
        <v>0</v>
      </c>
      <c r="AL120" s="102">
        <f t="shared" si="118"/>
        <v>0</v>
      </c>
      <c r="AM120" s="102">
        <f t="shared" si="118"/>
        <v>0</v>
      </c>
      <c r="AN120" s="102">
        <f t="shared" si="118"/>
        <v>0</v>
      </c>
      <c r="AO120" s="102">
        <f t="shared" si="118"/>
        <v>0</v>
      </c>
      <c r="AP120" s="102">
        <f t="shared" si="118"/>
        <v>0</v>
      </c>
      <c r="AQ120" s="102">
        <f t="shared" si="118"/>
        <v>0</v>
      </c>
      <c r="AR120" s="102">
        <f t="shared" si="118"/>
        <v>0</v>
      </c>
      <c r="AS120" s="102">
        <f t="shared" si="118"/>
        <v>0</v>
      </c>
      <c r="AT120" s="102">
        <f t="shared" si="118"/>
        <v>0</v>
      </c>
      <c r="AU120" s="102">
        <f t="shared" si="118"/>
        <v>0</v>
      </c>
      <c r="AV120" s="102">
        <f t="shared" si="118"/>
        <v>0</v>
      </c>
      <c r="AW120" s="102">
        <f t="shared" si="118"/>
        <v>0</v>
      </c>
      <c r="AX120" s="102">
        <f t="shared" si="118"/>
        <v>0</v>
      </c>
      <c r="AY120" s="102"/>
      <c r="AZ120" s="102"/>
      <c r="BA120" s="102"/>
      <c r="BB120" s="102"/>
      <c r="BC120" s="102"/>
      <c r="BD120" s="102"/>
      <c r="BE120" s="102"/>
      <c r="BF120" s="102"/>
      <c r="BG120" s="102"/>
      <c r="BH120" s="102"/>
      <c r="BI120" s="102"/>
    </row>
    <row r="121" spans="1:61" s="17" customFormat="1" hidden="1" outlineLevel="1" x14ac:dyDescent="0.25">
      <c r="A121" s="16" t="s">
        <v>163</v>
      </c>
      <c r="B121" s="101">
        <f t="shared" si="117"/>
        <v>0</v>
      </c>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f t="shared" si="118"/>
        <v>0</v>
      </c>
      <c r="AK121" s="102">
        <f t="shared" si="118"/>
        <v>0</v>
      </c>
      <c r="AL121" s="102">
        <f t="shared" si="118"/>
        <v>0</v>
      </c>
      <c r="AM121" s="102">
        <f t="shared" si="118"/>
        <v>0</v>
      </c>
      <c r="AN121" s="102">
        <f t="shared" si="118"/>
        <v>0</v>
      </c>
      <c r="AO121" s="102">
        <f t="shared" si="118"/>
        <v>0</v>
      </c>
      <c r="AP121" s="102">
        <f t="shared" si="118"/>
        <v>0</v>
      </c>
      <c r="AQ121" s="102">
        <f t="shared" si="118"/>
        <v>0</v>
      </c>
      <c r="AR121" s="102">
        <f t="shared" si="118"/>
        <v>0</v>
      </c>
      <c r="AS121" s="102">
        <f t="shared" si="118"/>
        <v>0</v>
      </c>
      <c r="AT121" s="102">
        <f t="shared" si="118"/>
        <v>0</v>
      </c>
      <c r="AU121" s="102">
        <f t="shared" si="118"/>
        <v>0</v>
      </c>
      <c r="AV121" s="102">
        <f t="shared" si="118"/>
        <v>0</v>
      </c>
      <c r="AW121" s="102">
        <f t="shared" si="118"/>
        <v>0</v>
      </c>
      <c r="AX121" s="102">
        <f t="shared" si="118"/>
        <v>0</v>
      </c>
      <c r="AY121" s="102"/>
      <c r="AZ121" s="102"/>
      <c r="BA121" s="102"/>
      <c r="BB121" s="102"/>
      <c r="BC121" s="102"/>
      <c r="BD121" s="102"/>
      <c r="BE121" s="102"/>
      <c r="BF121" s="102"/>
      <c r="BG121" s="102"/>
      <c r="BH121" s="102"/>
      <c r="BI121" s="102"/>
    </row>
    <row r="122" spans="1:61" s="17" customFormat="1" hidden="1" outlineLevel="1" x14ac:dyDescent="0.25">
      <c r="A122" s="16" t="s">
        <v>164</v>
      </c>
      <c r="B122" s="101">
        <f t="shared" si="117"/>
        <v>0</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f>+AI119*AI9/2</f>
        <v>0</v>
      </c>
      <c r="AJ122" s="102">
        <f>+AI127*$AI$9/2</f>
        <v>0</v>
      </c>
      <c r="AK122" s="102">
        <f t="shared" ref="AK122:AX122" si="119">+AJ127*$AI$9/2</f>
        <v>0</v>
      </c>
      <c r="AL122" s="102">
        <f t="shared" si="119"/>
        <v>0</v>
      </c>
      <c r="AM122" s="102">
        <f t="shared" si="119"/>
        <v>0</v>
      </c>
      <c r="AN122" s="102">
        <f t="shared" si="119"/>
        <v>0</v>
      </c>
      <c r="AO122" s="102">
        <f t="shared" si="119"/>
        <v>0</v>
      </c>
      <c r="AP122" s="102">
        <f t="shared" si="119"/>
        <v>0</v>
      </c>
      <c r="AQ122" s="102">
        <f t="shared" si="119"/>
        <v>0</v>
      </c>
      <c r="AR122" s="102">
        <f t="shared" si="119"/>
        <v>0</v>
      </c>
      <c r="AS122" s="102">
        <f t="shared" si="119"/>
        <v>0</v>
      </c>
      <c r="AT122" s="102">
        <f t="shared" si="119"/>
        <v>0</v>
      </c>
      <c r="AU122" s="102">
        <f t="shared" si="119"/>
        <v>0</v>
      </c>
      <c r="AV122" s="102">
        <f t="shared" si="119"/>
        <v>0</v>
      </c>
      <c r="AW122" s="102">
        <f t="shared" si="119"/>
        <v>0</v>
      </c>
      <c r="AX122" s="102">
        <f t="shared" si="119"/>
        <v>0</v>
      </c>
      <c r="AY122" s="102"/>
      <c r="AZ122" s="102"/>
      <c r="BA122" s="102"/>
      <c r="BB122" s="102"/>
      <c r="BC122" s="102"/>
      <c r="BD122" s="102"/>
      <c r="BE122" s="102"/>
      <c r="BF122" s="102"/>
      <c r="BG122" s="102"/>
      <c r="BH122" s="102"/>
      <c r="BI122" s="102"/>
    </row>
    <row r="123" spans="1:61" s="17" customFormat="1" hidden="1" outlineLevel="1" x14ac:dyDescent="0.25">
      <c r="A123" s="16" t="s">
        <v>164</v>
      </c>
      <c r="B123" s="101">
        <f t="shared" si="117"/>
        <v>0</v>
      </c>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f>+AJ126*$AI$9/2</f>
        <v>0</v>
      </c>
      <c r="AK123" s="102">
        <f t="shared" ref="AK123:AX123" si="120">+AK126*$AI$9/2</f>
        <v>0</v>
      </c>
      <c r="AL123" s="102">
        <f t="shared" si="120"/>
        <v>0</v>
      </c>
      <c r="AM123" s="102">
        <f t="shared" si="120"/>
        <v>0</v>
      </c>
      <c r="AN123" s="102">
        <f t="shared" si="120"/>
        <v>0</v>
      </c>
      <c r="AO123" s="102">
        <f t="shared" si="120"/>
        <v>0</v>
      </c>
      <c r="AP123" s="102">
        <f t="shared" si="120"/>
        <v>0</v>
      </c>
      <c r="AQ123" s="102">
        <f t="shared" si="120"/>
        <v>0</v>
      </c>
      <c r="AR123" s="102">
        <f t="shared" si="120"/>
        <v>0</v>
      </c>
      <c r="AS123" s="102">
        <f t="shared" si="120"/>
        <v>0</v>
      </c>
      <c r="AT123" s="102">
        <f t="shared" si="120"/>
        <v>0</v>
      </c>
      <c r="AU123" s="102">
        <f t="shared" si="120"/>
        <v>0</v>
      </c>
      <c r="AV123" s="102">
        <f t="shared" si="120"/>
        <v>0</v>
      </c>
      <c r="AW123" s="102">
        <f t="shared" si="120"/>
        <v>0</v>
      </c>
      <c r="AX123" s="102">
        <f t="shared" si="120"/>
        <v>0</v>
      </c>
      <c r="AY123" s="102"/>
      <c r="AZ123" s="102"/>
      <c r="BA123" s="102"/>
      <c r="BB123" s="102"/>
      <c r="BC123" s="102"/>
      <c r="BD123" s="102"/>
      <c r="BE123" s="102"/>
      <c r="BF123" s="102"/>
      <c r="BG123" s="102"/>
      <c r="BH123" s="102"/>
      <c r="BI123" s="102"/>
    </row>
    <row r="124" spans="1:61" s="17" customFormat="1" hidden="1" outlineLevel="1" x14ac:dyDescent="0.25">
      <c r="A124" s="16" t="s">
        <v>220</v>
      </c>
      <c r="B124" s="101">
        <f t="shared" si="117"/>
        <v>0</v>
      </c>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f>-PMT(AI9/2,AI10*2,AI8)</f>
        <v>0</v>
      </c>
      <c r="AJ124" s="102">
        <f t="shared" ref="AJ124:AX124" si="121">+AI124</f>
        <v>0</v>
      </c>
      <c r="AK124" s="102">
        <f t="shared" si="121"/>
        <v>0</v>
      </c>
      <c r="AL124" s="102">
        <f t="shared" si="121"/>
        <v>0</v>
      </c>
      <c r="AM124" s="102">
        <f t="shared" si="121"/>
        <v>0</v>
      </c>
      <c r="AN124" s="102">
        <f t="shared" si="121"/>
        <v>0</v>
      </c>
      <c r="AO124" s="102">
        <f t="shared" si="121"/>
        <v>0</v>
      </c>
      <c r="AP124" s="102">
        <f t="shared" si="121"/>
        <v>0</v>
      </c>
      <c r="AQ124" s="102">
        <f t="shared" si="121"/>
        <v>0</v>
      </c>
      <c r="AR124" s="102">
        <f t="shared" si="121"/>
        <v>0</v>
      </c>
      <c r="AS124" s="102">
        <f t="shared" si="121"/>
        <v>0</v>
      </c>
      <c r="AT124" s="102">
        <f t="shared" si="121"/>
        <v>0</v>
      </c>
      <c r="AU124" s="102">
        <f t="shared" si="121"/>
        <v>0</v>
      </c>
      <c r="AV124" s="102">
        <f t="shared" si="121"/>
        <v>0</v>
      </c>
      <c r="AW124" s="102">
        <f t="shared" si="121"/>
        <v>0</v>
      </c>
      <c r="AX124" s="102">
        <f t="shared" si="121"/>
        <v>0</v>
      </c>
      <c r="AY124" s="102"/>
      <c r="AZ124" s="102"/>
      <c r="BA124" s="102"/>
      <c r="BB124" s="102"/>
      <c r="BC124" s="102"/>
      <c r="BD124" s="102"/>
      <c r="BE124" s="102"/>
      <c r="BF124" s="102"/>
      <c r="BG124" s="102"/>
      <c r="BH124" s="102"/>
      <c r="BI124" s="102"/>
    </row>
    <row r="125" spans="1:61" s="17" customFormat="1" hidden="1" outlineLevel="1" x14ac:dyDescent="0.25">
      <c r="A125" s="16" t="s">
        <v>220</v>
      </c>
      <c r="B125" s="101">
        <f t="shared" si="117"/>
        <v>0</v>
      </c>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f t="shared" ref="AJ125:AW125" si="122">+AJ124</f>
        <v>0</v>
      </c>
      <c r="AK125" s="102">
        <f t="shared" si="122"/>
        <v>0</v>
      </c>
      <c r="AL125" s="102">
        <f t="shared" si="122"/>
        <v>0</v>
      </c>
      <c r="AM125" s="102">
        <f t="shared" si="122"/>
        <v>0</v>
      </c>
      <c r="AN125" s="102">
        <f t="shared" si="122"/>
        <v>0</v>
      </c>
      <c r="AO125" s="102">
        <f t="shared" si="122"/>
        <v>0</v>
      </c>
      <c r="AP125" s="102">
        <f t="shared" si="122"/>
        <v>0</v>
      </c>
      <c r="AQ125" s="102">
        <f t="shared" si="122"/>
        <v>0</v>
      </c>
      <c r="AR125" s="102">
        <f t="shared" si="122"/>
        <v>0</v>
      </c>
      <c r="AS125" s="102">
        <f t="shared" si="122"/>
        <v>0</v>
      </c>
      <c r="AT125" s="102">
        <f t="shared" si="122"/>
        <v>0</v>
      </c>
      <c r="AU125" s="102">
        <f t="shared" si="122"/>
        <v>0</v>
      </c>
      <c r="AV125" s="102">
        <f t="shared" si="122"/>
        <v>0</v>
      </c>
      <c r="AW125" s="102">
        <f t="shared" si="122"/>
        <v>0</v>
      </c>
      <c r="AX125" s="102"/>
      <c r="AY125" s="102"/>
      <c r="AZ125" s="102"/>
      <c r="BA125" s="102"/>
      <c r="BB125" s="102"/>
      <c r="BC125" s="102"/>
      <c r="BD125" s="102"/>
      <c r="BE125" s="102"/>
      <c r="BF125" s="102"/>
      <c r="BG125" s="102"/>
      <c r="BH125" s="102"/>
      <c r="BI125" s="102"/>
    </row>
    <row r="126" spans="1:61" s="17" customFormat="1" hidden="1" outlineLevel="1" x14ac:dyDescent="0.25">
      <c r="A126" s="16" t="s">
        <v>227</v>
      </c>
      <c r="B126" s="101">
        <f t="shared" si="117"/>
        <v>0</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f t="shared" ref="AJ126:AX126" si="123">+AI127-AJ120</f>
        <v>0</v>
      </c>
      <c r="AK126" s="102">
        <f t="shared" si="123"/>
        <v>0</v>
      </c>
      <c r="AL126" s="102">
        <f t="shared" si="123"/>
        <v>0</v>
      </c>
      <c r="AM126" s="102">
        <f t="shared" si="123"/>
        <v>0</v>
      </c>
      <c r="AN126" s="102">
        <f t="shared" si="123"/>
        <v>0</v>
      </c>
      <c r="AO126" s="102">
        <f t="shared" si="123"/>
        <v>0</v>
      </c>
      <c r="AP126" s="102">
        <f t="shared" si="123"/>
        <v>0</v>
      </c>
      <c r="AQ126" s="102">
        <f t="shared" si="123"/>
        <v>0</v>
      </c>
      <c r="AR126" s="102">
        <f t="shared" si="123"/>
        <v>0</v>
      </c>
      <c r="AS126" s="102">
        <f t="shared" si="123"/>
        <v>0</v>
      </c>
      <c r="AT126" s="102">
        <f t="shared" si="123"/>
        <v>0</v>
      </c>
      <c r="AU126" s="102">
        <f t="shared" si="123"/>
        <v>0</v>
      </c>
      <c r="AV126" s="102">
        <f t="shared" si="123"/>
        <v>0</v>
      </c>
      <c r="AW126" s="102">
        <f t="shared" si="123"/>
        <v>0</v>
      </c>
      <c r="AX126" s="102">
        <f t="shared" si="123"/>
        <v>0</v>
      </c>
      <c r="AY126" s="102"/>
      <c r="AZ126" s="102"/>
      <c r="BA126" s="102"/>
      <c r="BB126" s="102"/>
      <c r="BC126" s="102"/>
      <c r="BD126" s="102"/>
      <c r="BE126" s="102"/>
      <c r="BF126" s="102"/>
      <c r="BG126" s="102"/>
      <c r="BH126" s="102"/>
      <c r="BI126" s="102"/>
    </row>
    <row r="127" spans="1:61" s="17" customFormat="1" hidden="1" outlineLevel="1" x14ac:dyDescent="0.25">
      <c r="A127" s="16" t="s">
        <v>16</v>
      </c>
      <c r="B127" s="101">
        <f t="shared" si="117"/>
        <v>0</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f>AI119-AI120</f>
        <v>0</v>
      </c>
      <c r="AJ127" s="102">
        <f t="shared" ref="AJ127:AX127" si="124">+AJ126-AJ121</f>
        <v>0</v>
      </c>
      <c r="AK127" s="102">
        <f t="shared" si="124"/>
        <v>0</v>
      </c>
      <c r="AL127" s="102">
        <f t="shared" si="124"/>
        <v>0</v>
      </c>
      <c r="AM127" s="102">
        <f t="shared" si="124"/>
        <v>0</v>
      </c>
      <c r="AN127" s="102">
        <f t="shared" si="124"/>
        <v>0</v>
      </c>
      <c r="AO127" s="102">
        <f t="shared" si="124"/>
        <v>0</v>
      </c>
      <c r="AP127" s="102">
        <f t="shared" si="124"/>
        <v>0</v>
      </c>
      <c r="AQ127" s="102">
        <f t="shared" si="124"/>
        <v>0</v>
      </c>
      <c r="AR127" s="102">
        <f t="shared" si="124"/>
        <v>0</v>
      </c>
      <c r="AS127" s="102">
        <f t="shared" si="124"/>
        <v>0</v>
      </c>
      <c r="AT127" s="102">
        <f t="shared" si="124"/>
        <v>0</v>
      </c>
      <c r="AU127" s="102">
        <f t="shared" si="124"/>
        <v>0</v>
      </c>
      <c r="AV127" s="102">
        <f t="shared" si="124"/>
        <v>0</v>
      </c>
      <c r="AW127" s="102">
        <f t="shared" si="124"/>
        <v>0</v>
      </c>
      <c r="AX127" s="102">
        <f t="shared" si="124"/>
        <v>0</v>
      </c>
      <c r="AY127" s="102"/>
      <c r="AZ127" s="102"/>
      <c r="BA127" s="102"/>
      <c r="BB127" s="102"/>
      <c r="BC127" s="102"/>
      <c r="BD127" s="102"/>
      <c r="BE127" s="102"/>
      <c r="BF127" s="102"/>
      <c r="BG127" s="102"/>
      <c r="BH127" s="102"/>
      <c r="BI127" s="102"/>
    </row>
    <row r="128" spans="1:61" s="17" customFormat="1" hidden="1" outlineLevel="1" x14ac:dyDescent="0.25">
      <c r="A128" s="16"/>
      <c r="B128" s="101">
        <f t="shared" si="117"/>
        <v>0</v>
      </c>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row>
    <row r="129" spans="1:61" s="17" customFormat="1" collapsed="1" x14ac:dyDescent="0.25">
      <c r="A129" s="16"/>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row>
    <row r="130" spans="1:61" s="104" customFormat="1" x14ac:dyDescent="0.25">
      <c r="A130" s="21" t="s">
        <v>228</v>
      </c>
      <c r="B130" s="101">
        <f t="shared" si="64"/>
        <v>1185.8646326984344</v>
      </c>
      <c r="C130" s="103"/>
      <c r="D130" s="103">
        <f t="shared" ref="D130:BD130" si="125">SUMIF($A$29:$A$129,"Debt Forecasted",D29:D129)</f>
        <v>0</v>
      </c>
      <c r="E130" s="103">
        <f t="shared" si="125"/>
        <v>0</v>
      </c>
      <c r="F130" s="103">
        <f t="shared" si="125"/>
        <v>0</v>
      </c>
      <c r="G130" s="103">
        <f t="shared" si="125"/>
        <v>0</v>
      </c>
      <c r="H130" s="103">
        <f t="shared" si="125"/>
        <v>0</v>
      </c>
      <c r="I130" s="103">
        <f t="shared" si="125"/>
        <v>0</v>
      </c>
      <c r="J130" s="103">
        <f t="shared" si="125"/>
        <v>0</v>
      </c>
      <c r="K130" s="103">
        <f t="shared" si="125"/>
        <v>0</v>
      </c>
      <c r="L130" s="103">
        <f t="shared" si="125"/>
        <v>0</v>
      </c>
      <c r="M130" s="103">
        <f t="shared" si="125"/>
        <v>0</v>
      </c>
      <c r="N130" s="103">
        <f t="shared" si="125"/>
        <v>0</v>
      </c>
      <c r="O130" s="103">
        <f t="shared" si="125"/>
        <v>0</v>
      </c>
      <c r="P130" s="103">
        <f t="shared" si="125"/>
        <v>0</v>
      </c>
      <c r="Q130" s="103">
        <f t="shared" si="125"/>
        <v>0</v>
      </c>
      <c r="R130" s="103">
        <f t="shared" si="125"/>
        <v>0</v>
      </c>
      <c r="S130" s="103">
        <f t="shared" si="125"/>
        <v>0</v>
      </c>
      <c r="T130" s="103">
        <f t="shared" si="125"/>
        <v>0</v>
      </c>
      <c r="U130" s="103">
        <f t="shared" si="125"/>
        <v>0</v>
      </c>
      <c r="V130" s="103">
        <f t="shared" si="125"/>
        <v>0</v>
      </c>
      <c r="W130" s="103">
        <f t="shared" si="125"/>
        <v>0</v>
      </c>
      <c r="X130" s="103">
        <f t="shared" si="125"/>
        <v>0</v>
      </c>
      <c r="Y130" s="103">
        <f t="shared" si="125"/>
        <v>0</v>
      </c>
      <c r="Z130" s="103">
        <f t="shared" si="125"/>
        <v>1185.8646326984344</v>
      </c>
      <c r="AA130" s="103">
        <f t="shared" si="125"/>
        <v>0</v>
      </c>
      <c r="AB130" s="103">
        <f t="shared" si="125"/>
        <v>0</v>
      </c>
      <c r="AC130" s="103">
        <f t="shared" si="125"/>
        <v>0</v>
      </c>
      <c r="AD130" s="103">
        <f t="shared" si="125"/>
        <v>0</v>
      </c>
      <c r="AE130" s="103">
        <f t="shared" si="125"/>
        <v>0</v>
      </c>
      <c r="AF130" s="103">
        <f t="shared" si="125"/>
        <v>0</v>
      </c>
      <c r="AG130" s="103">
        <f t="shared" si="125"/>
        <v>0</v>
      </c>
      <c r="AH130" s="103">
        <f t="shared" si="125"/>
        <v>0</v>
      </c>
      <c r="AI130" s="103">
        <f t="shared" si="125"/>
        <v>0</v>
      </c>
      <c r="AJ130" s="103">
        <f t="shared" si="125"/>
        <v>0</v>
      </c>
      <c r="AK130" s="103">
        <f t="shared" si="125"/>
        <v>0</v>
      </c>
      <c r="AL130" s="103">
        <f t="shared" si="125"/>
        <v>0</v>
      </c>
      <c r="AM130" s="103">
        <f t="shared" si="125"/>
        <v>0</v>
      </c>
      <c r="AN130" s="103">
        <f t="shared" si="125"/>
        <v>0</v>
      </c>
      <c r="AO130" s="103">
        <f t="shared" si="125"/>
        <v>0</v>
      </c>
      <c r="AP130" s="103">
        <f t="shared" si="125"/>
        <v>0</v>
      </c>
      <c r="AQ130" s="103">
        <f t="shared" si="125"/>
        <v>0</v>
      </c>
      <c r="AR130" s="103">
        <f t="shared" si="125"/>
        <v>0</v>
      </c>
      <c r="AS130" s="103">
        <f t="shared" si="125"/>
        <v>0</v>
      </c>
      <c r="AT130" s="103">
        <f t="shared" si="125"/>
        <v>0</v>
      </c>
      <c r="AU130" s="103">
        <f t="shared" si="125"/>
        <v>0</v>
      </c>
      <c r="AV130" s="103">
        <f t="shared" si="125"/>
        <v>0</v>
      </c>
      <c r="AW130" s="103">
        <f t="shared" si="125"/>
        <v>0</v>
      </c>
      <c r="AX130" s="103">
        <f t="shared" si="125"/>
        <v>0</v>
      </c>
      <c r="AY130" s="103">
        <f t="shared" si="125"/>
        <v>0</v>
      </c>
      <c r="AZ130" s="103">
        <f t="shared" si="125"/>
        <v>0</v>
      </c>
      <c r="BA130" s="103">
        <f t="shared" si="125"/>
        <v>0</v>
      </c>
      <c r="BB130" s="103">
        <f t="shared" si="125"/>
        <v>0</v>
      </c>
      <c r="BC130" s="103">
        <f t="shared" si="125"/>
        <v>0</v>
      </c>
      <c r="BD130" s="103">
        <f t="shared" si="125"/>
        <v>0</v>
      </c>
      <c r="BE130" s="103"/>
      <c r="BF130" s="103"/>
      <c r="BG130" s="103"/>
      <c r="BH130" s="103"/>
      <c r="BI130" s="103"/>
    </row>
    <row r="131" spans="1:61" s="17" customFormat="1" x14ac:dyDescent="0.25">
      <c r="A131" s="16" t="s">
        <v>223</v>
      </c>
      <c r="B131" s="101">
        <f t="shared" si="64"/>
        <v>1185.864632698434</v>
      </c>
      <c r="C131" s="102">
        <f t="shared" ref="C131:BD131" si="126">SUMIF($A$29:$A$129,"Principal",C29:C129)</f>
        <v>0</v>
      </c>
      <c r="D131" s="102">
        <f t="shared" si="126"/>
        <v>0</v>
      </c>
      <c r="E131" s="102">
        <f t="shared" si="126"/>
        <v>0</v>
      </c>
      <c r="F131" s="102">
        <f t="shared" si="126"/>
        <v>0</v>
      </c>
      <c r="G131" s="102">
        <f t="shared" si="126"/>
        <v>0</v>
      </c>
      <c r="H131" s="102">
        <f t="shared" si="126"/>
        <v>0</v>
      </c>
      <c r="I131" s="102">
        <f t="shared" si="126"/>
        <v>0</v>
      </c>
      <c r="J131" s="102">
        <f t="shared" si="126"/>
        <v>0</v>
      </c>
      <c r="K131" s="102">
        <f t="shared" si="126"/>
        <v>0</v>
      </c>
      <c r="L131" s="102">
        <f t="shared" si="126"/>
        <v>0</v>
      </c>
      <c r="M131" s="102">
        <f t="shared" si="126"/>
        <v>0</v>
      </c>
      <c r="N131" s="102">
        <f t="shared" si="126"/>
        <v>0</v>
      </c>
      <c r="O131" s="102">
        <f t="shared" si="126"/>
        <v>0</v>
      </c>
      <c r="P131" s="102">
        <f t="shared" si="126"/>
        <v>0</v>
      </c>
      <c r="Q131" s="102">
        <f t="shared" si="126"/>
        <v>0</v>
      </c>
      <c r="R131" s="102">
        <f t="shared" si="126"/>
        <v>0</v>
      </c>
      <c r="S131" s="102">
        <f t="shared" si="126"/>
        <v>0</v>
      </c>
      <c r="T131" s="102">
        <f t="shared" si="126"/>
        <v>0</v>
      </c>
      <c r="U131" s="102">
        <f t="shared" si="126"/>
        <v>0</v>
      </c>
      <c r="V131" s="102">
        <f t="shared" si="126"/>
        <v>0</v>
      </c>
      <c r="W131" s="102">
        <f t="shared" si="126"/>
        <v>0</v>
      </c>
      <c r="X131" s="102">
        <f t="shared" si="126"/>
        <v>0</v>
      </c>
      <c r="Y131" s="102">
        <f t="shared" si="126"/>
        <v>0</v>
      </c>
      <c r="Z131" s="102">
        <f t="shared" si="126"/>
        <v>11.322385378410488</v>
      </c>
      <c r="AA131" s="102">
        <f t="shared" si="126"/>
        <v>23.586576894150465</v>
      </c>
      <c r="AB131" s="102">
        <f t="shared" si="126"/>
        <v>24.900480382873294</v>
      </c>
      <c r="AC131" s="102">
        <f t="shared" si="126"/>
        <v>26.287575602020816</v>
      </c>
      <c r="AD131" s="102">
        <f t="shared" si="126"/>
        <v>27.75193973796825</v>
      </c>
      <c r="AE131" s="102">
        <f t="shared" si="126"/>
        <v>29.297877099043539</v>
      </c>
      <c r="AF131" s="102">
        <f t="shared" si="126"/>
        <v>30.929931767483065</v>
      </c>
      <c r="AG131" s="102">
        <f t="shared" si="126"/>
        <v>32.652900956171642</v>
      </c>
      <c r="AH131" s="102">
        <f t="shared" si="126"/>
        <v>34.471849109427197</v>
      </c>
      <c r="AI131" s="102">
        <f t="shared" si="126"/>
        <v>36.392122789277551</v>
      </c>
      <c r="AJ131" s="102">
        <f t="shared" si="126"/>
        <v>38.419366390985601</v>
      </c>
      <c r="AK131" s="102">
        <f t="shared" si="126"/>
        <v>40.559538734016684</v>
      </c>
      <c r="AL131" s="102">
        <f t="shared" si="126"/>
        <v>42.818930577214999</v>
      </c>
      <c r="AM131" s="102">
        <f t="shared" si="126"/>
        <v>45.204183109672826</v>
      </c>
      <c r="AN131" s="102">
        <f t="shared" si="126"/>
        <v>47.72230747164393</v>
      </c>
      <c r="AO131" s="102">
        <f t="shared" si="126"/>
        <v>50.380705362880406</v>
      </c>
      <c r="AP131" s="102">
        <f t="shared" si="126"/>
        <v>53.18719079896853</v>
      </c>
      <c r="AQ131" s="102">
        <f t="shared" si="126"/>
        <v>56.150013079613359</v>
      </c>
      <c r="AR131" s="102">
        <f t="shared" si="126"/>
        <v>59.27788103638472</v>
      </c>
      <c r="AS131" s="102">
        <f t="shared" si="126"/>
        <v>62.579988631197203</v>
      </c>
      <c r="AT131" s="102">
        <f t="shared" si="126"/>
        <v>66.066041980768119</v>
      </c>
      <c r="AU131" s="102">
        <f t="shared" si="126"/>
        <v>69.746287886487835</v>
      </c>
      <c r="AV131" s="102">
        <f t="shared" si="126"/>
        <v>73.631543953562598</v>
      </c>
      <c r="AW131" s="102">
        <f t="shared" si="126"/>
        <v>77.733230387961129</v>
      </c>
      <c r="AX131" s="102">
        <f t="shared" si="126"/>
        <v>82.063403564627862</v>
      </c>
      <c r="AY131" s="102">
        <f t="shared" si="126"/>
        <v>42.730380015621606</v>
      </c>
      <c r="AZ131" s="102">
        <f t="shared" si="126"/>
        <v>0</v>
      </c>
      <c r="BA131" s="102">
        <f t="shared" si="126"/>
        <v>0</v>
      </c>
      <c r="BB131" s="102">
        <f t="shared" si="126"/>
        <v>0</v>
      </c>
      <c r="BC131" s="102">
        <f t="shared" si="126"/>
        <v>0</v>
      </c>
      <c r="BD131" s="102">
        <f t="shared" si="126"/>
        <v>0</v>
      </c>
      <c r="BE131" s="102"/>
      <c r="BF131" s="102"/>
      <c r="BG131" s="102"/>
      <c r="BH131" s="102"/>
      <c r="BI131" s="102"/>
    </row>
    <row r="132" spans="1:61" s="17" customFormat="1" x14ac:dyDescent="0.25">
      <c r="A132" s="16" t="s">
        <v>224</v>
      </c>
      <c r="B132" s="101">
        <f t="shared" si="64"/>
        <v>1009.3559398021099</v>
      </c>
      <c r="C132" s="102">
        <f t="shared" ref="C132:BD132" si="127">SUMIF($A$29:$A$129,"Interest",C29:C129)</f>
        <v>0</v>
      </c>
      <c r="D132" s="102">
        <f t="shared" si="127"/>
        <v>0</v>
      </c>
      <c r="E132" s="102">
        <f t="shared" si="127"/>
        <v>0</v>
      </c>
      <c r="F132" s="102">
        <f t="shared" si="127"/>
        <v>0</v>
      </c>
      <c r="G132" s="102">
        <f t="shared" si="127"/>
        <v>0</v>
      </c>
      <c r="H132" s="102">
        <f t="shared" si="127"/>
        <v>0</v>
      </c>
      <c r="I132" s="102">
        <f t="shared" si="127"/>
        <v>0</v>
      </c>
      <c r="J132" s="102">
        <f t="shared" si="127"/>
        <v>0</v>
      </c>
      <c r="K132" s="102">
        <f t="shared" si="127"/>
        <v>0</v>
      </c>
      <c r="L132" s="102">
        <f t="shared" si="127"/>
        <v>0</v>
      </c>
      <c r="M132" s="102">
        <f t="shared" si="127"/>
        <v>0</v>
      </c>
      <c r="N132" s="102">
        <f t="shared" si="127"/>
        <v>0</v>
      </c>
      <c r="O132" s="102">
        <f t="shared" si="127"/>
        <v>0</v>
      </c>
      <c r="P132" s="102">
        <f t="shared" si="127"/>
        <v>0</v>
      </c>
      <c r="Q132" s="102">
        <f t="shared" si="127"/>
        <v>0</v>
      </c>
      <c r="R132" s="102">
        <f t="shared" si="127"/>
        <v>0</v>
      </c>
      <c r="S132" s="102">
        <f t="shared" si="127"/>
        <v>0</v>
      </c>
      <c r="T132" s="102">
        <f t="shared" si="127"/>
        <v>0</v>
      </c>
      <c r="U132" s="102">
        <f t="shared" si="127"/>
        <v>0</v>
      </c>
      <c r="V132" s="102">
        <f t="shared" si="127"/>
        <v>0</v>
      </c>
      <c r="W132" s="102">
        <f t="shared" si="127"/>
        <v>0</v>
      </c>
      <c r="X132" s="102">
        <f t="shared" si="127"/>
        <v>0</v>
      </c>
      <c r="Y132" s="102">
        <f t="shared" si="127"/>
        <v>0</v>
      </c>
      <c r="Z132" s="102">
        <f t="shared" si="127"/>
        <v>32.582026071600382</v>
      </c>
      <c r="AA132" s="102">
        <f t="shared" si="127"/>
        <v>64.22224600587127</v>
      </c>
      <c r="AB132" s="102">
        <f t="shared" si="127"/>
        <v>62.908342517148441</v>
      </c>
      <c r="AC132" s="102">
        <f t="shared" si="127"/>
        <v>61.521247298000922</v>
      </c>
      <c r="AD132" s="102">
        <f t="shared" si="127"/>
        <v>60.056883162053488</v>
      </c>
      <c r="AE132" s="102">
        <f t="shared" si="127"/>
        <v>58.510945800978199</v>
      </c>
      <c r="AF132" s="102">
        <f t="shared" si="127"/>
        <v>56.878891132538669</v>
      </c>
      <c r="AG132" s="102">
        <f t="shared" si="127"/>
        <v>55.155921943850096</v>
      </c>
      <c r="AH132" s="102">
        <f t="shared" si="127"/>
        <v>53.336973790594541</v>
      </c>
      <c r="AI132" s="102">
        <f t="shared" si="127"/>
        <v>51.416700110744188</v>
      </c>
      <c r="AJ132" s="102">
        <f t="shared" si="127"/>
        <v>49.389456509036137</v>
      </c>
      <c r="AK132" s="102">
        <f t="shared" si="127"/>
        <v>47.249284166005054</v>
      </c>
      <c r="AL132" s="102">
        <f t="shared" si="127"/>
        <v>44.989892322806739</v>
      </c>
      <c r="AM132" s="102">
        <f t="shared" si="127"/>
        <v>42.604639790348912</v>
      </c>
      <c r="AN132" s="102">
        <f t="shared" si="127"/>
        <v>40.086515428377808</v>
      </c>
      <c r="AO132" s="102">
        <f t="shared" si="127"/>
        <v>37.428117537141333</v>
      </c>
      <c r="AP132" s="102">
        <f t="shared" si="127"/>
        <v>34.621632101053208</v>
      </c>
      <c r="AQ132" s="102">
        <f t="shared" si="127"/>
        <v>31.658809820408372</v>
      </c>
      <c r="AR132" s="102">
        <f t="shared" si="127"/>
        <v>28.530941863637022</v>
      </c>
      <c r="AS132" s="102">
        <f t="shared" si="127"/>
        <v>25.228834268824535</v>
      </c>
      <c r="AT132" s="102">
        <f t="shared" si="127"/>
        <v>21.742780919253619</v>
      </c>
      <c r="AU132" s="102">
        <f t="shared" si="127"/>
        <v>18.062535013533903</v>
      </c>
      <c r="AV132" s="102">
        <f t="shared" si="127"/>
        <v>14.17727894645914</v>
      </c>
      <c r="AW132" s="102">
        <f t="shared" si="127"/>
        <v>10.075592512060616</v>
      </c>
      <c r="AX132" s="102">
        <f t="shared" si="127"/>
        <v>5.7454193353938727</v>
      </c>
      <c r="AY132" s="102">
        <f t="shared" si="127"/>
        <v>1.1740314343892595</v>
      </c>
      <c r="AZ132" s="102">
        <f t="shared" si="127"/>
        <v>0</v>
      </c>
      <c r="BA132" s="102">
        <f t="shared" si="127"/>
        <v>0</v>
      </c>
      <c r="BB132" s="102">
        <f t="shared" si="127"/>
        <v>0</v>
      </c>
      <c r="BC132" s="102">
        <f t="shared" si="127"/>
        <v>0</v>
      </c>
      <c r="BD132" s="102">
        <f t="shared" si="127"/>
        <v>0</v>
      </c>
      <c r="BE132" s="102"/>
      <c r="BF132" s="102"/>
      <c r="BG132" s="102"/>
      <c r="BH132" s="102"/>
      <c r="BI132" s="102"/>
    </row>
    <row r="133" spans="1:61" s="17" customFormat="1" x14ac:dyDescent="0.25">
      <c r="A133" s="16" t="s">
        <v>225</v>
      </c>
      <c r="B133" s="101">
        <f t="shared" si="64"/>
        <v>2195.2205725005442</v>
      </c>
      <c r="C133" s="102">
        <f>+C131+C132</f>
        <v>0</v>
      </c>
      <c r="D133" s="102">
        <f t="shared" ref="D133:AZ133" si="128">+D131+D132</f>
        <v>0</v>
      </c>
      <c r="E133" s="102">
        <f t="shared" si="128"/>
        <v>0</v>
      </c>
      <c r="F133" s="102">
        <f t="shared" si="128"/>
        <v>0</v>
      </c>
      <c r="G133" s="102">
        <f t="shared" si="128"/>
        <v>0</v>
      </c>
      <c r="H133" s="102">
        <f t="shared" si="128"/>
        <v>0</v>
      </c>
      <c r="I133" s="102">
        <f t="shared" si="128"/>
        <v>0</v>
      </c>
      <c r="J133" s="102">
        <f t="shared" si="128"/>
        <v>0</v>
      </c>
      <c r="K133" s="102">
        <f t="shared" si="128"/>
        <v>0</v>
      </c>
      <c r="L133" s="102">
        <f t="shared" si="128"/>
        <v>0</v>
      </c>
      <c r="M133" s="102">
        <f t="shared" si="128"/>
        <v>0</v>
      </c>
      <c r="N133" s="102">
        <f t="shared" si="128"/>
        <v>0</v>
      </c>
      <c r="O133" s="102">
        <f t="shared" si="128"/>
        <v>0</v>
      </c>
      <c r="P133" s="102">
        <f t="shared" si="128"/>
        <v>0</v>
      </c>
      <c r="Q133" s="102">
        <f t="shared" si="128"/>
        <v>0</v>
      </c>
      <c r="R133" s="102">
        <f t="shared" si="128"/>
        <v>0</v>
      </c>
      <c r="S133" s="102">
        <f t="shared" si="128"/>
        <v>0</v>
      </c>
      <c r="T133" s="102">
        <f t="shared" si="128"/>
        <v>0</v>
      </c>
      <c r="U133" s="102">
        <f t="shared" si="128"/>
        <v>0</v>
      </c>
      <c r="V133" s="102">
        <f t="shared" si="128"/>
        <v>0</v>
      </c>
      <c r="W133" s="102">
        <f t="shared" si="128"/>
        <v>0</v>
      </c>
      <c r="X133" s="102">
        <f t="shared" si="128"/>
        <v>0</v>
      </c>
      <c r="Y133" s="102">
        <f t="shared" si="128"/>
        <v>0</v>
      </c>
      <c r="Z133" s="102">
        <f t="shared" si="128"/>
        <v>43.904411450010869</v>
      </c>
      <c r="AA133" s="102">
        <f t="shared" si="128"/>
        <v>87.808822900021738</v>
      </c>
      <c r="AB133" s="102">
        <f t="shared" si="128"/>
        <v>87.808822900021738</v>
      </c>
      <c r="AC133" s="102">
        <f t="shared" si="128"/>
        <v>87.808822900021738</v>
      </c>
      <c r="AD133" s="102">
        <f t="shared" si="128"/>
        <v>87.808822900021738</v>
      </c>
      <c r="AE133" s="102">
        <f t="shared" si="128"/>
        <v>87.808822900021738</v>
      </c>
      <c r="AF133" s="102">
        <f t="shared" si="128"/>
        <v>87.808822900021738</v>
      </c>
      <c r="AG133" s="102">
        <f t="shared" si="128"/>
        <v>87.808822900021738</v>
      </c>
      <c r="AH133" s="102">
        <f t="shared" si="128"/>
        <v>87.808822900021738</v>
      </c>
      <c r="AI133" s="102">
        <f t="shared" si="128"/>
        <v>87.808822900021738</v>
      </c>
      <c r="AJ133" s="102">
        <f t="shared" si="128"/>
        <v>87.808822900021738</v>
      </c>
      <c r="AK133" s="102">
        <f t="shared" si="128"/>
        <v>87.808822900021738</v>
      </c>
      <c r="AL133" s="102">
        <f t="shared" si="128"/>
        <v>87.808822900021738</v>
      </c>
      <c r="AM133" s="102">
        <f t="shared" si="128"/>
        <v>87.808822900021738</v>
      </c>
      <c r="AN133" s="102">
        <f t="shared" si="128"/>
        <v>87.808822900021738</v>
      </c>
      <c r="AO133" s="102">
        <f t="shared" si="128"/>
        <v>87.808822900021738</v>
      </c>
      <c r="AP133" s="102">
        <f t="shared" si="128"/>
        <v>87.808822900021738</v>
      </c>
      <c r="AQ133" s="102">
        <f t="shared" si="128"/>
        <v>87.808822900021738</v>
      </c>
      <c r="AR133" s="102">
        <f t="shared" si="128"/>
        <v>87.808822900021738</v>
      </c>
      <c r="AS133" s="102">
        <f t="shared" si="128"/>
        <v>87.808822900021738</v>
      </c>
      <c r="AT133" s="102">
        <f t="shared" si="128"/>
        <v>87.808822900021738</v>
      </c>
      <c r="AU133" s="102">
        <f t="shared" si="128"/>
        <v>87.808822900021738</v>
      </c>
      <c r="AV133" s="102">
        <f t="shared" si="128"/>
        <v>87.808822900021738</v>
      </c>
      <c r="AW133" s="102">
        <f t="shared" si="128"/>
        <v>87.808822900021738</v>
      </c>
      <c r="AX133" s="102">
        <f t="shared" si="128"/>
        <v>87.808822900021738</v>
      </c>
      <c r="AY133" s="102">
        <f t="shared" si="128"/>
        <v>43.904411450010862</v>
      </c>
      <c r="AZ133" s="102">
        <f t="shared" si="128"/>
        <v>0</v>
      </c>
      <c r="BA133" s="102">
        <f>+BA131+BA132</f>
        <v>0</v>
      </c>
      <c r="BB133" s="102">
        <f>+BB131+BB132</f>
        <v>0</v>
      </c>
      <c r="BC133" s="102">
        <f>+BC131+BC132</f>
        <v>0</v>
      </c>
      <c r="BD133" s="102">
        <f>+BD131+BD132</f>
        <v>0</v>
      </c>
      <c r="BE133" s="102"/>
      <c r="BF133" s="102"/>
      <c r="BG133" s="102"/>
      <c r="BH133" s="102"/>
      <c r="BI133" s="102"/>
    </row>
    <row r="134" spans="1:61" s="17" customFormat="1" x14ac:dyDescent="0.25">
      <c r="A134" s="16" t="s">
        <v>16</v>
      </c>
      <c r="B134" s="101"/>
      <c r="C134" s="102">
        <f t="shared" ref="C134:BD134" si="129">SUMIF($A$29:$A$129,"Balance",C29:C129)</f>
        <v>0</v>
      </c>
      <c r="D134" s="102">
        <f t="shared" si="129"/>
        <v>0</v>
      </c>
      <c r="E134" s="102">
        <f t="shared" si="129"/>
        <v>0</v>
      </c>
      <c r="F134" s="102">
        <f t="shared" si="129"/>
        <v>0</v>
      </c>
      <c r="G134" s="102">
        <f t="shared" si="129"/>
        <v>0</v>
      </c>
      <c r="H134" s="102">
        <f t="shared" si="129"/>
        <v>0</v>
      </c>
      <c r="I134" s="102">
        <f t="shared" si="129"/>
        <v>0</v>
      </c>
      <c r="J134" s="102">
        <f t="shared" si="129"/>
        <v>0</v>
      </c>
      <c r="K134" s="102">
        <f t="shared" si="129"/>
        <v>0</v>
      </c>
      <c r="L134" s="102">
        <f t="shared" si="129"/>
        <v>0</v>
      </c>
      <c r="M134" s="102">
        <f t="shared" si="129"/>
        <v>0</v>
      </c>
      <c r="N134" s="102">
        <f t="shared" si="129"/>
        <v>0</v>
      </c>
      <c r="O134" s="102">
        <f t="shared" si="129"/>
        <v>0</v>
      </c>
      <c r="P134" s="102">
        <f t="shared" si="129"/>
        <v>0</v>
      </c>
      <c r="Q134" s="102">
        <f t="shared" si="129"/>
        <v>0</v>
      </c>
      <c r="R134" s="102">
        <f t="shared" si="129"/>
        <v>0</v>
      </c>
      <c r="S134" s="102">
        <f t="shared" si="129"/>
        <v>0</v>
      </c>
      <c r="T134" s="102">
        <f t="shared" si="129"/>
        <v>0</v>
      </c>
      <c r="U134" s="102">
        <f t="shared" si="129"/>
        <v>0</v>
      </c>
      <c r="V134" s="102">
        <f t="shared" si="129"/>
        <v>0</v>
      </c>
      <c r="W134" s="102">
        <f t="shared" si="129"/>
        <v>0</v>
      </c>
      <c r="X134" s="102">
        <f t="shared" si="129"/>
        <v>0</v>
      </c>
      <c r="Y134" s="102">
        <f t="shared" si="129"/>
        <v>0</v>
      </c>
      <c r="Z134" s="102">
        <f t="shared" si="129"/>
        <v>1174.542247320024</v>
      </c>
      <c r="AA134" s="102">
        <f t="shared" si="129"/>
        <v>1150.9556704258737</v>
      </c>
      <c r="AB134" s="102">
        <f t="shared" si="129"/>
        <v>1126.0551900430005</v>
      </c>
      <c r="AC134" s="102">
        <f t="shared" si="129"/>
        <v>1099.7676144409797</v>
      </c>
      <c r="AD134" s="102">
        <f t="shared" si="129"/>
        <v>1072.0156747030114</v>
      </c>
      <c r="AE134" s="102">
        <f t="shared" si="129"/>
        <v>1042.7177976039679</v>
      </c>
      <c r="AF134" s="102">
        <f t="shared" si="129"/>
        <v>1011.7878658364849</v>
      </c>
      <c r="AG134" s="102">
        <f t="shared" si="129"/>
        <v>979.13496488031319</v>
      </c>
      <c r="AH134" s="102">
        <f t="shared" si="129"/>
        <v>944.66311577088595</v>
      </c>
      <c r="AI134" s="102">
        <f t="shared" si="129"/>
        <v>908.2709929816084</v>
      </c>
      <c r="AJ134" s="102">
        <f t="shared" si="129"/>
        <v>869.8516265906228</v>
      </c>
      <c r="AK134" s="102">
        <f t="shared" si="129"/>
        <v>829.29208785660614</v>
      </c>
      <c r="AL134" s="102">
        <f t="shared" si="129"/>
        <v>786.4731572793911</v>
      </c>
      <c r="AM134" s="102">
        <f t="shared" si="129"/>
        <v>741.26897416971826</v>
      </c>
      <c r="AN134" s="102">
        <f t="shared" si="129"/>
        <v>693.54666669807432</v>
      </c>
      <c r="AO134" s="102">
        <f t="shared" si="129"/>
        <v>643.16596133519386</v>
      </c>
      <c r="AP134" s="102">
        <f t="shared" si="129"/>
        <v>589.9787705362254</v>
      </c>
      <c r="AQ134" s="102">
        <f t="shared" si="129"/>
        <v>533.82875745661204</v>
      </c>
      <c r="AR134" s="102">
        <f t="shared" si="129"/>
        <v>474.55087642022733</v>
      </c>
      <c r="AS134" s="102">
        <f t="shared" si="129"/>
        <v>411.97088778903014</v>
      </c>
      <c r="AT134" s="102">
        <f t="shared" si="129"/>
        <v>345.904845808262</v>
      </c>
      <c r="AU134" s="102">
        <f t="shared" si="129"/>
        <v>276.15855792177416</v>
      </c>
      <c r="AV134" s="102">
        <f t="shared" si="129"/>
        <v>202.52701396821155</v>
      </c>
      <c r="AW134" s="102">
        <f t="shared" si="129"/>
        <v>124.79378358025042</v>
      </c>
      <c r="AX134" s="102">
        <f t="shared" si="129"/>
        <v>42.730380015622544</v>
      </c>
      <c r="AY134" s="102">
        <f t="shared" si="129"/>
        <v>9.3448337186904E-13</v>
      </c>
      <c r="AZ134" s="102">
        <f t="shared" si="129"/>
        <v>0</v>
      </c>
      <c r="BA134" s="102">
        <f t="shared" si="129"/>
        <v>0</v>
      </c>
      <c r="BB134" s="102">
        <f t="shared" si="129"/>
        <v>0</v>
      </c>
      <c r="BC134" s="102">
        <f t="shared" si="129"/>
        <v>0</v>
      </c>
      <c r="BD134" s="102">
        <f t="shared" si="129"/>
        <v>0</v>
      </c>
      <c r="BE134" s="102"/>
      <c r="BF134" s="102"/>
      <c r="BG134" s="102"/>
      <c r="BH134" s="102"/>
      <c r="BI134" s="102"/>
    </row>
    <row r="135" spans="1:61" x14ac:dyDescent="0.25">
      <c r="A135" s="21"/>
      <c r="B135" s="101"/>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row>
    <row r="136" spans="1:61" x14ac:dyDescent="0.25">
      <c r="A136" s="20" t="s">
        <v>229</v>
      </c>
      <c r="B136" s="101"/>
      <c r="C136" s="102"/>
      <c r="D136" s="102"/>
      <c r="E136" s="102"/>
      <c r="F136" s="102"/>
      <c r="G136" s="102"/>
      <c r="H136" s="102"/>
      <c r="I136" s="102"/>
      <c r="J136" s="102"/>
      <c r="K136" s="102"/>
      <c r="L136" s="102"/>
      <c r="M136" s="102"/>
      <c r="N136" s="102"/>
      <c r="O136" s="102"/>
      <c r="P136" s="102"/>
      <c r="Q136" s="102"/>
      <c r="R136" s="102"/>
      <c r="S136" s="102">
        <f t="shared" ref="S136:AC136" si="130">S23+S130</f>
        <v>0</v>
      </c>
      <c r="T136" s="102">
        <f t="shared" si="130"/>
        <v>762</v>
      </c>
      <c r="U136" s="102">
        <f t="shared" si="130"/>
        <v>3892</v>
      </c>
      <c r="V136" s="102">
        <f t="shared" si="130"/>
        <v>315.47541999999999</v>
      </c>
      <c r="W136" s="102">
        <f t="shared" si="130"/>
        <v>346.99299999999999</v>
      </c>
      <c r="X136" s="102">
        <f t="shared" si="130"/>
        <v>5886.4580000000014</v>
      </c>
      <c r="Y136" s="102">
        <f t="shared" si="130"/>
        <v>2979</v>
      </c>
      <c r="Z136" s="102">
        <f t="shared" si="130"/>
        <v>1571.1610126984344</v>
      </c>
      <c r="AA136" s="102">
        <f t="shared" si="130"/>
        <v>0</v>
      </c>
      <c r="AB136" s="102">
        <f t="shared" si="130"/>
        <v>0</v>
      </c>
      <c r="AC136" s="102">
        <f t="shared" si="130"/>
        <v>0</v>
      </c>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row>
    <row r="137" spans="1:61" x14ac:dyDescent="0.25">
      <c r="A137" s="16" t="s">
        <v>223</v>
      </c>
      <c r="B137" s="101">
        <f>SUM(C137:BB137)</f>
        <v>15753.371782698434</v>
      </c>
      <c r="C137" s="102">
        <f t="shared" ref="C137:BD139" si="131">SUM(C24,C131)</f>
        <v>0</v>
      </c>
      <c r="D137" s="102">
        <f t="shared" si="131"/>
        <v>0</v>
      </c>
      <c r="E137" s="102">
        <f t="shared" si="131"/>
        <v>0</v>
      </c>
      <c r="F137" s="102">
        <f t="shared" si="131"/>
        <v>0</v>
      </c>
      <c r="G137" s="102">
        <f t="shared" si="131"/>
        <v>0</v>
      </c>
      <c r="H137" s="102">
        <f t="shared" si="131"/>
        <v>0</v>
      </c>
      <c r="I137" s="102">
        <f t="shared" si="131"/>
        <v>0</v>
      </c>
      <c r="J137" s="102">
        <f t="shared" si="131"/>
        <v>0</v>
      </c>
      <c r="K137" s="102">
        <f t="shared" si="131"/>
        <v>0</v>
      </c>
      <c r="L137" s="102">
        <f t="shared" si="131"/>
        <v>0</v>
      </c>
      <c r="M137" s="102">
        <f t="shared" si="131"/>
        <v>0</v>
      </c>
      <c r="N137" s="102">
        <f t="shared" si="131"/>
        <v>0</v>
      </c>
      <c r="O137" s="102">
        <f t="shared" si="131"/>
        <v>0</v>
      </c>
      <c r="P137" s="102">
        <f t="shared" si="131"/>
        <v>0</v>
      </c>
      <c r="Q137" s="102">
        <f t="shared" si="131"/>
        <v>0</v>
      </c>
      <c r="R137" s="102">
        <f t="shared" si="131"/>
        <v>0</v>
      </c>
      <c r="S137" s="102">
        <f t="shared" si="131"/>
        <v>0</v>
      </c>
      <c r="T137" s="102">
        <f t="shared" si="131"/>
        <v>0</v>
      </c>
      <c r="U137" s="102">
        <f t="shared" si="131"/>
        <v>71.251289999999997</v>
      </c>
      <c r="V137" s="102">
        <f t="shared" si="131"/>
        <v>126.8241140940396</v>
      </c>
      <c r="W137" s="102">
        <f t="shared" si="131"/>
        <v>138.55175013054043</v>
      </c>
      <c r="X137" s="102">
        <f t="shared" si="131"/>
        <v>204.10592354010558</v>
      </c>
      <c r="Y137" s="102">
        <f t="shared" si="131"/>
        <v>325.77821390051406</v>
      </c>
      <c r="Z137" s="102">
        <f t="shared" si="131"/>
        <v>412.56702788689819</v>
      </c>
      <c r="AA137" s="102">
        <f t="shared" si="131"/>
        <v>442.03683878512874</v>
      </c>
      <c r="AB137" s="102">
        <f t="shared" si="131"/>
        <v>457.36679964783679</v>
      </c>
      <c r="AC137" s="102">
        <f t="shared" si="131"/>
        <v>473.26896142262069</v>
      </c>
      <c r="AD137" s="102">
        <f t="shared" si="131"/>
        <v>489.76641925189057</v>
      </c>
      <c r="AE137" s="102">
        <f t="shared" si="131"/>
        <v>506.88324683210021</v>
      </c>
      <c r="AF137" s="102">
        <f t="shared" si="131"/>
        <v>524.64450692728826</v>
      </c>
      <c r="AG137" s="102">
        <f t="shared" si="131"/>
        <v>543.07642374553757</v>
      </c>
      <c r="AH137" s="102">
        <f t="shared" si="131"/>
        <v>562.20630592355633</v>
      </c>
      <c r="AI137" s="102">
        <f t="shared" si="131"/>
        <v>582.0626860286917</v>
      </c>
      <c r="AJ137" s="102">
        <f t="shared" si="131"/>
        <v>602.6753312552454</v>
      </c>
      <c r="AK137" s="102">
        <f t="shared" si="131"/>
        <v>624.07537845161926</v>
      </c>
      <c r="AL137" s="102">
        <f t="shared" si="131"/>
        <v>646.29521900763507</v>
      </c>
      <c r="AM137" s="102">
        <f t="shared" si="131"/>
        <v>669.36874575096306</v>
      </c>
      <c r="AN137" s="102">
        <f t="shared" si="131"/>
        <v>693.33140136064765</v>
      </c>
      <c r="AO137" s="102">
        <f t="shared" si="131"/>
        <v>718.22005635137066</v>
      </c>
      <c r="AP137" s="102">
        <f t="shared" si="131"/>
        <v>744.07337133254543</v>
      </c>
      <c r="AQ137" s="102">
        <f t="shared" si="131"/>
        <v>770.93163703206972</v>
      </c>
      <c r="AR137" s="102">
        <f t="shared" si="131"/>
        <v>798.83699722806148</v>
      </c>
      <c r="AS137" s="102">
        <f t="shared" si="131"/>
        <v>827.8329809512245</v>
      </c>
      <c r="AT137" s="102">
        <f t="shared" si="131"/>
        <v>698.6513584264045</v>
      </c>
      <c r="AU137" s="102">
        <f t="shared" si="131"/>
        <v>604.12026213548404</v>
      </c>
      <c r="AV137" s="102">
        <f t="shared" si="131"/>
        <v>612.29381119265759</v>
      </c>
      <c r="AW137" s="102">
        <f t="shared" si="131"/>
        <v>518.70311661299411</v>
      </c>
      <c r="AX137" s="102">
        <f t="shared" si="131"/>
        <v>307.16926825154269</v>
      </c>
      <c r="AY137" s="102">
        <f t="shared" si="131"/>
        <v>56.402339241218883</v>
      </c>
      <c r="AZ137" s="102">
        <f t="shared" si="131"/>
        <v>0</v>
      </c>
      <c r="BA137" s="102">
        <f t="shared" si="131"/>
        <v>0</v>
      </c>
      <c r="BB137" s="102">
        <f t="shared" si="131"/>
        <v>0</v>
      </c>
      <c r="BC137" s="102">
        <f t="shared" si="131"/>
        <v>0</v>
      </c>
      <c r="BD137" s="102">
        <f t="shared" si="131"/>
        <v>0</v>
      </c>
      <c r="BE137" s="102"/>
      <c r="BF137" s="102"/>
      <c r="BG137" s="102"/>
      <c r="BH137" s="102"/>
      <c r="BI137" s="102"/>
    </row>
    <row r="138" spans="1:61" x14ac:dyDescent="0.25">
      <c r="A138" s="16" t="s">
        <v>224</v>
      </c>
      <c r="B138" s="101">
        <f>SUM(C138:BB138)</f>
        <v>8313.3186411386032</v>
      </c>
      <c r="C138" s="102">
        <f t="shared" si="131"/>
        <v>0</v>
      </c>
      <c r="D138" s="102">
        <f t="shared" si="131"/>
        <v>0</v>
      </c>
      <c r="E138" s="102">
        <f t="shared" si="131"/>
        <v>0</v>
      </c>
      <c r="F138" s="102">
        <f t="shared" si="131"/>
        <v>0</v>
      </c>
      <c r="G138" s="102">
        <f t="shared" si="131"/>
        <v>0</v>
      </c>
      <c r="H138" s="102">
        <f t="shared" si="131"/>
        <v>0</v>
      </c>
      <c r="I138" s="102">
        <f t="shared" si="131"/>
        <v>0</v>
      </c>
      <c r="J138" s="102">
        <f t="shared" si="131"/>
        <v>0</v>
      </c>
      <c r="K138" s="102">
        <f t="shared" si="131"/>
        <v>0</v>
      </c>
      <c r="L138" s="102">
        <f t="shared" si="131"/>
        <v>0</v>
      </c>
      <c r="M138" s="102">
        <f t="shared" si="131"/>
        <v>0</v>
      </c>
      <c r="N138" s="102">
        <f t="shared" si="131"/>
        <v>0</v>
      </c>
      <c r="O138" s="102">
        <f t="shared" si="131"/>
        <v>0</v>
      </c>
      <c r="P138" s="102">
        <f t="shared" si="131"/>
        <v>0</v>
      </c>
      <c r="Q138" s="102">
        <f t="shared" si="131"/>
        <v>0</v>
      </c>
      <c r="R138" s="102">
        <f t="shared" si="131"/>
        <v>0</v>
      </c>
      <c r="S138" s="102">
        <f t="shared" si="131"/>
        <v>0</v>
      </c>
      <c r="T138" s="102">
        <f t="shared" si="131"/>
        <v>3.4950299999999999</v>
      </c>
      <c r="U138" s="102">
        <f t="shared" si="131"/>
        <v>125.14485000000001</v>
      </c>
      <c r="V138" s="102">
        <f t="shared" si="131"/>
        <v>151.16886885356666</v>
      </c>
      <c r="W138" s="102">
        <f t="shared" si="131"/>
        <v>154.57605686216743</v>
      </c>
      <c r="X138" s="102">
        <f t="shared" si="131"/>
        <v>226.37810146737553</v>
      </c>
      <c r="Y138" s="102">
        <f t="shared" si="131"/>
        <v>332.65780311270368</v>
      </c>
      <c r="Z138" s="102">
        <f t="shared" si="131"/>
        <v>495.74033430760358</v>
      </c>
      <c r="AA138" s="102">
        <f t="shared" si="131"/>
        <v>517.99403898609069</v>
      </c>
      <c r="AB138" s="102">
        <f t="shared" si="131"/>
        <v>502.57150331574508</v>
      </c>
      <c r="AC138" s="102">
        <f t="shared" si="131"/>
        <v>486.57326860474654</v>
      </c>
      <c r="AD138" s="102">
        <f t="shared" si="131"/>
        <v>469.97613267613076</v>
      </c>
      <c r="AE138" s="102">
        <f t="shared" si="131"/>
        <v>452.75588781037317</v>
      </c>
      <c r="AF138" s="102">
        <f t="shared" si="131"/>
        <v>434.88732257677293</v>
      </c>
      <c r="AG138" s="102">
        <f t="shared" si="131"/>
        <v>416.34403680522757</v>
      </c>
      <c r="AH138" s="102">
        <f t="shared" si="131"/>
        <v>397.09856358663086</v>
      </c>
      <c r="AI138" s="102">
        <f t="shared" si="131"/>
        <v>377.12224529544858</v>
      </c>
      <c r="AJ138" s="102">
        <f t="shared" si="131"/>
        <v>356.38506770324489</v>
      </c>
      <c r="AK138" s="102">
        <f t="shared" si="131"/>
        <v>334.85574328418744</v>
      </c>
      <c r="AL138" s="102">
        <f t="shared" si="131"/>
        <v>312.50167791136954</v>
      </c>
      <c r="AM138" s="102">
        <f t="shared" si="131"/>
        <v>289.28877289771515</v>
      </c>
      <c r="AN138" s="102">
        <f t="shared" si="131"/>
        <v>265.18143099047421</v>
      </c>
      <c r="AO138" s="102">
        <f t="shared" si="131"/>
        <v>240.14248105413819</v>
      </c>
      <c r="AP138" s="102">
        <f t="shared" si="131"/>
        <v>214.13307119640029</v>
      </c>
      <c r="AQ138" s="102">
        <f t="shared" si="131"/>
        <v>187.11268178786412</v>
      </c>
      <c r="AR138" s="102">
        <f t="shared" si="131"/>
        <v>159.03891690841274</v>
      </c>
      <c r="AS138" s="102">
        <f t="shared" si="131"/>
        <v>129.86747569317001</v>
      </c>
      <c r="AT138" s="102">
        <f t="shared" si="131"/>
        <v>101.22133124975207</v>
      </c>
      <c r="AU138" s="102">
        <f t="shared" si="131"/>
        <v>78.04723176256303</v>
      </c>
      <c r="AV138" s="102">
        <f t="shared" si="131"/>
        <v>54.958301728377151</v>
      </c>
      <c r="AW138" s="102">
        <f t="shared" si="131"/>
        <v>31.63166147113494</v>
      </c>
      <c r="AX138" s="102">
        <f t="shared" si="131"/>
        <v>13.145756424530642</v>
      </c>
      <c r="AY138" s="102">
        <f t="shared" si="131"/>
        <v>1.3229948146871648</v>
      </c>
      <c r="AZ138" s="102">
        <f t="shared" si="131"/>
        <v>0</v>
      </c>
      <c r="BA138" s="102">
        <f t="shared" si="131"/>
        <v>0</v>
      </c>
      <c r="BB138" s="102">
        <f t="shared" si="131"/>
        <v>0</v>
      </c>
      <c r="BC138" s="102">
        <f t="shared" si="131"/>
        <v>0</v>
      </c>
      <c r="BD138" s="102">
        <f t="shared" si="131"/>
        <v>0</v>
      </c>
      <c r="BE138" s="102"/>
      <c r="BF138" s="102"/>
      <c r="BG138" s="102"/>
      <c r="BH138" s="102"/>
      <c r="BI138" s="102"/>
    </row>
    <row r="139" spans="1:61" x14ac:dyDescent="0.25">
      <c r="A139" s="16" t="s">
        <v>225</v>
      </c>
      <c r="B139" s="101">
        <f>SUM(C139:BB139)</f>
        <v>24066.690423837044</v>
      </c>
      <c r="C139" s="102">
        <f t="shared" si="131"/>
        <v>0</v>
      </c>
      <c r="D139" s="102">
        <f t="shared" si="131"/>
        <v>0</v>
      </c>
      <c r="E139" s="102">
        <f t="shared" si="131"/>
        <v>0</v>
      </c>
      <c r="F139" s="102">
        <f t="shared" si="131"/>
        <v>0</v>
      </c>
      <c r="G139" s="102">
        <f t="shared" si="131"/>
        <v>0</v>
      </c>
      <c r="H139" s="102">
        <f t="shared" si="131"/>
        <v>0</v>
      </c>
      <c r="I139" s="102">
        <f t="shared" si="131"/>
        <v>0</v>
      </c>
      <c r="J139" s="102">
        <f t="shared" si="131"/>
        <v>0</v>
      </c>
      <c r="K139" s="102">
        <f t="shared" si="131"/>
        <v>0</v>
      </c>
      <c r="L139" s="102">
        <f t="shared" si="131"/>
        <v>0</v>
      </c>
      <c r="M139" s="102">
        <f t="shared" si="131"/>
        <v>0</v>
      </c>
      <c r="N139" s="102">
        <f t="shared" si="131"/>
        <v>0</v>
      </c>
      <c r="O139" s="102">
        <f t="shared" si="131"/>
        <v>0</v>
      </c>
      <c r="P139" s="102">
        <f t="shared" si="131"/>
        <v>0</v>
      </c>
      <c r="Q139" s="102">
        <f t="shared" si="131"/>
        <v>0</v>
      </c>
      <c r="R139" s="102">
        <f t="shared" si="131"/>
        <v>0</v>
      </c>
      <c r="S139" s="102">
        <f t="shared" si="131"/>
        <v>0</v>
      </c>
      <c r="T139" s="102">
        <f t="shared" si="131"/>
        <v>3.4950299999999999</v>
      </c>
      <c r="U139" s="102">
        <f t="shared" si="131"/>
        <v>196.39614</v>
      </c>
      <c r="V139" s="102">
        <f t="shared" si="131"/>
        <v>277.99298294760627</v>
      </c>
      <c r="W139" s="102">
        <f t="shared" si="131"/>
        <v>293.12780699270786</v>
      </c>
      <c r="X139" s="102">
        <f t="shared" si="131"/>
        <v>430.48402500748114</v>
      </c>
      <c r="Y139" s="102">
        <f t="shared" si="131"/>
        <v>658.43601701321768</v>
      </c>
      <c r="Z139" s="102">
        <f t="shared" si="131"/>
        <v>908.30736219450182</v>
      </c>
      <c r="AA139" s="102">
        <f t="shared" si="131"/>
        <v>960.03087777121937</v>
      </c>
      <c r="AB139" s="102">
        <f t="shared" si="131"/>
        <v>959.9383029635818</v>
      </c>
      <c r="AC139" s="102">
        <f t="shared" si="131"/>
        <v>959.84223002736724</v>
      </c>
      <c r="AD139" s="102">
        <f t="shared" si="131"/>
        <v>959.74255192802127</v>
      </c>
      <c r="AE139" s="102">
        <f t="shared" si="131"/>
        <v>959.63913464247332</v>
      </c>
      <c r="AF139" s="102">
        <f t="shared" si="131"/>
        <v>959.53182950406119</v>
      </c>
      <c r="AG139" s="102">
        <f t="shared" si="131"/>
        <v>959.42046055076514</v>
      </c>
      <c r="AH139" s="102">
        <f t="shared" si="131"/>
        <v>959.30486951018713</v>
      </c>
      <c r="AI139" s="102">
        <f t="shared" si="131"/>
        <v>959.18493132414017</v>
      </c>
      <c r="AJ139" s="102">
        <f t="shared" si="131"/>
        <v>959.06039895849028</v>
      </c>
      <c r="AK139" s="102">
        <f t="shared" si="131"/>
        <v>958.93112173580664</v>
      </c>
      <c r="AL139" s="102">
        <f t="shared" si="131"/>
        <v>958.79689691900455</v>
      </c>
      <c r="AM139" s="102">
        <f t="shared" si="131"/>
        <v>958.65751864867809</v>
      </c>
      <c r="AN139" s="102">
        <f t="shared" si="131"/>
        <v>958.5128323511218</v>
      </c>
      <c r="AO139" s="102">
        <f t="shared" si="131"/>
        <v>958.36253740550876</v>
      </c>
      <c r="AP139" s="102">
        <f t="shared" si="131"/>
        <v>958.20644252894567</v>
      </c>
      <c r="AQ139" s="102">
        <f t="shared" si="131"/>
        <v>958.04431881993378</v>
      </c>
      <c r="AR139" s="102">
        <f t="shared" si="131"/>
        <v>957.87591413647408</v>
      </c>
      <c r="AS139" s="102">
        <f t="shared" si="131"/>
        <v>957.70045664439442</v>
      </c>
      <c r="AT139" s="102">
        <f t="shared" si="131"/>
        <v>799.8726896761566</v>
      </c>
      <c r="AU139" s="102">
        <f t="shared" si="131"/>
        <v>682.16749389804704</v>
      </c>
      <c r="AV139" s="102">
        <f t="shared" si="131"/>
        <v>667.25211292103461</v>
      </c>
      <c r="AW139" s="102">
        <f t="shared" si="131"/>
        <v>550.33477808412897</v>
      </c>
      <c r="AX139" s="102">
        <f t="shared" si="131"/>
        <v>320.31502467607334</v>
      </c>
      <c r="AY139" s="102">
        <f t="shared" si="131"/>
        <v>57.725334055906046</v>
      </c>
      <c r="AZ139" s="102">
        <f t="shared" si="131"/>
        <v>0</v>
      </c>
      <c r="BA139" s="102">
        <f t="shared" si="131"/>
        <v>0</v>
      </c>
      <c r="BB139" s="102">
        <f t="shared" si="131"/>
        <v>0</v>
      </c>
      <c r="BC139" s="102">
        <f t="shared" si="131"/>
        <v>0</v>
      </c>
      <c r="BD139" s="102">
        <f t="shared" si="131"/>
        <v>0</v>
      </c>
      <c r="BE139" s="102"/>
      <c r="BF139" s="102"/>
      <c r="BG139" s="102"/>
      <c r="BH139" s="102"/>
      <c r="BI139" s="102"/>
    </row>
  </sheetData>
  <pageMargins left="0.7" right="0.7" top="0.75" bottom="0.75" header="0.3" footer="0.3"/>
  <pageSetup paperSize="5"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C3F34-90D8-4D4F-B77A-545DA72DEE9B}">
  <dimension ref="A1:R36"/>
  <sheetViews>
    <sheetView showGridLines="0" workbookViewId="0">
      <selection activeCell="B14" sqref="B14"/>
    </sheetView>
  </sheetViews>
  <sheetFormatPr defaultRowHeight="13.2" x14ac:dyDescent="0.25"/>
  <cols>
    <col min="1" max="1" width="13.5546875" style="9" customWidth="1"/>
    <col min="2" max="7" width="16.21875" customWidth="1"/>
    <col min="11" max="11" width="13" customWidth="1"/>
    <col min="13" max="13" width="9.21875" bestFit="1" customWidth="1"/>
  </cols>
  <sheetData>
    <row r="1" spans="1:18" x14ac:dyDescent="0.25">
      <c r="A1" s="59" t="s">
        <v>242</v>
      </c>
      <c r="B1" s="8"/>
    </row>
    <row r="2" spans="1:18" x14ac:dyDescent="0.25">
      <c r="A2" s="8" t="s">
        <v>243</v>
      </c>
      <c r="B2" s="8"/>
    </row>
    <row r="3" spans="1:18" ht="13.8" thickBot="1" x14ac:dyDescent="0.3">
      <c r="A3" s="8"/>
      <c r="B3" s="11"/>
    </row>
    <row r="4" spans="1:18" x14ac:dyDescent="0.25">
      <c r="A4" s="8"/>
      <c r="B4" s="11" t="s">
        <v>244</v>
      </c>
      <c r="C4" s="11" t="s">
        <v>245</v>
      </c>
      <c r="D4" s="214" t="s">
        <v>246</v>
      </c>
      <c r="E4" s="215"/>
      <c r="F4" s="215"/>
      <c r="G4" s="215"/>
      <c r="H4" s="215"/>
      <c r="I4" s="215"/>
      <c r="J4" s="216"/>
      <c r="K4" s="217"/>
    </row>
    <row r="5" spans="1:18" ht="13.8" thickBot="1" x14ac:dyDescent="0.3">
      <c r="A5" s="8"/>
      <c r="B5" s="10"/>
      <c r="D5" s="218"/>
      <c r="E5" s="219"/>
      <c r="F5" s="219"/>
      <c r="G5" s="220"/>
      <c r="H5" s="221" t="s">
        <v>247</v>
      </c>
      <c r="I5" s="219"/>
      <c r="J5" s="222"/>
      <c r="K5" s="223"/>
    </row>
    <row r="6" spans="1:18" x14ac:dyDescent="0.25">
      <c r="A6" s="8">
        <v>2023</v>
      </c>
      <c r="B6" s="161"/>
      <c r="C6" s="161">
        <v>5.4950666666666662E-2</v>
      </c>
    </row>
    <row r="7" spans="1:18" x14ac:dyDescent="0.25">
      <c r="A7" s="8">
        <v>2024</v>
      </c>
      <c r="B7" s="161">
        <v>5.1029714285714275E-2</v>
      </c>
    </row>
    <row r="8" spans="1:18" x14ac:dyDescent="0.25">
      <c r="A8" s="8">
        <v>2025</v>
      </c>
      <c r="B8" s="161">
        <v>5.1126714285714282E-2</v>
      </c>
    </row>
    <row r="9" spans="1:18" x14ac:dyDescent="0.25">
      <c r="A9" s="8">
        <v>2026</v>
      </c>
      <c r="B9" s="161">
        <v>5.1888714285714281E-2</v>
      </c>
    </row>
    <row r="10" spans="1:18" x14ac:dyDescent="0.25">
      <c r="A10" s="8">
        <v>2027</v>
      </c>
      <c r="B10" s="161">
        <v>5.3080714285714287E-2</v>
      </c>
    </row>
    <row r="11" spans="1:18" x14ac:dyDescent="0.25">
      <c r="A11" s="8">
        <v>2028</v>
      </c>
      <c r="B11" s="161">
        <v>5.4233714285714281E-2</v>
      </c>
    </row>
    <row r="12" spans="1:18" x14ac:dyDescent="0.25">
      <c r="A12" s="8">
        <v>2029</v>
      </c>
      <c r="B12" s="161">
        <v>5.5004714285714275E-2</v>
      </c>
    </row>
    <row r="13" spans="1:18" x14ac:dyDescent="0.25">
      <c r="A13" s="8">
        <v>2030</v>
      </c>
      <c r="B13" s="10">
        <v>5.5750714285714278E-2</v>
      </c>
      <c r="D13" s="168"/>
      <c r="E13" s="168"/>
      <c r="F13" s="168"/>
      <c r="G13" s="168"/>
      <c r="H13" s="168"/>
      <c r="I13" s="168"/>
      <c r="J13" s="168"/>
      <c r="K13" s="168"/>
      <c r="L13" s="168"/>
      <c r="M13" s="168"/>
      <c r="N13" s="168"/>
      <c r="O13" s="168"/>
      <c r="P13" s="168"/>
      <c r="Q13" s="168"/>
      <c r="R13" s="168"/>
    </row>
    <row r="14" spans="1:18" x14ac:dyDescent="0.25">
      <c r="A14" s="8">
        <v>2031</v>
      </c>
      <c r="B14" s="10">
        <v>5.6173714285714278E-2</v>
      </c>
    </row>
    <row r="15" spans="1:18" x14ac:dyDescent="0.25">
      <c r="A15" s="8">
        <v>2032</v>
      </c>
      <c r="B15" s="10">
        <v>5.6544714285714288E-2</v>
      </c>
    </row>
    <row r="16" spans="1:18" x14ac:dyDescent="0.25">
      <c r="A16" s="8">
        <v>2033</v>
      </c>
      <c r="B16" s="10">
        <v>5.6904714285714281E-2</v>
      </c>
    </row>
    <row r="17" spans="1:6" x14ac:dyDescent="0.25">
      <c r="A17" s="8">
        <v>2034</v>
      </c>
      <c r="B17" s="10">
        <v>5.6879714285714277E-2</v>
      </c>
    </row>
    <row r="18" spans="1:6" x14ac:dyDescent="0.25">
      <c r="A18" s="8">
        <v>2035</v>
      </c>
      <c r="B18" s="10">
        <v>5.6170714285714275E-2</v>
      </c>
    </row>
    <row r="19" spans="1:6" x14ac:dyDescent="0.25">
      <c r="A19" s="8">
        <v>2036</v>
      </c>
      <c r="B19" s="10">
        <v>5.5462714285714282E-2</v>
      </c>
    </row>
    <row r="20" spans="1:6" x14ac:dyDescent="0.25">
      <c r="A20" s="8"/>
      <c r="B20" s="10"/>
    </row>
    <row r="21" spans="1:6" x14ac:dyDescent="0.25">
      <c r="A21" s="59" t="s">
        <v>248</v>
      </c>
      <c r="B21" s="8"/>
      <c r="C21" s="8"/>
      <c r="D21" s="8"/>
    </row>
    <row r="22" spans="1:6" x14ac:dyDescent="0.25">
      <c r="A22" s="8"/>
      <c r="B22" s="162" t="s">
        <v>249</v>
      </c>
      <c r="C22" s="162" t="s">
        <v>250</v>
      </c>
      <c r="D22" s="162"/>
    </row>
    <row r="23" spans="1:6" x14ac:dyDescent="0.25">
      <c r="A23" s="8"/>
      <c r="B23" s="163">
        <v>0.54</v>
      </c>
      <c r="C23" s="163">
        <v>0.46</v>
      </c>
      <c r="D23" s="163"/>
    </row>
    <row r="27" spans="1:6" x14ac:dyDescent="0.25">
      <c r="A27" s="59" t="s">
        <v>251</v>
      </c>
    </row>
    <row r="29" spans="1:6" ht="66" x14ac:dyDescent="0.25">
      <c r="A29" s="224" t="s">
        <v>252</v>
      </c>
      <c r="B29" s="225" t="s">
        <v>253</v>
      </c>
      <c r="C29" s="225" t="s">
        <v>254</v>
      </c>
      <c r="D29" s="225" t="s">
        <v>255</v>
      </c>
      <c r="E29" s="225" t="s">
        <v>256</v>
      </c>
      <c r="F29" s="225" t="s">
        <v>257</v>
      </c>
    </row>
    <row r="30" spans="1:6" x14ac:dyDescent="0.25">
      <c r="A30" s="226" t="s">
        <v>258</v>
      </c>
      <c r="B30" s="227"/>
      <c r="C30" s="227">
        <v>1055</v>
      </c>
      <c r="D30" s="227">
        <f>B30+C30</f>
        <v>1055</v>
      </c>
      <c r="E30" s="227">
        <f>'Tab 12 - Land Absorption'!M4</f>
        <v>68.314769577606583</v>
      </c>
      <c r="F30" s="227">
        <f>D30-E30</f>
        <v>986.68523042239337</v>
      </c>
    </row>
    <row r="31" spans="1:6" x14ac:dyDescent="0.25">
      <c r="A31" s="226" t="s">
        <v>259</v>
      </c>
      <c r="B31" s="227"/>
      <c r="C31" s="227">
        <v>101</v>
      </c>
      <c r="D31" s="227">
        <f t="shared" ref="D31:D36" si="0">B31+C31</f>
        <v>101</v>
      </c>
      <c r="E31" s="227">
        <f>'Tab 12 - Land Absorption'!M5</f>
        <v>11.615191291948353</v>
      </c>
      <c r="F31" s="227">
        <f t="shared" ref="F31:F35" si="1">D31-E31</f>
        <v>89.384808708051651</v>
      </c>
    </row>
    <row r="32" spans="1:6" x14ac:dyDescent="0.25">
      <c r="A32" s="226" t="s">
        <v>260</v>
      </c>
      <c r="B32" s="227">
        <v>44</v>
      </c>
      <c r="C32" s="227">
        <v>189</v>
      </c>
      <c r="D32" s="227">
        <f t="shared" si="0"/>
        <v>233</v>
      </c>
      <c r="E32" s="227">
        <f>'Tab 12 - Land Absorption'!M6</f>
        <v>11.481902264532259</v>
      </c>
      <c r="F32" s="227">
        <f t="shared" si="1"/>
        <v>221.51809773546773</v>
      </c>
    </row>
    <row r="33" spans="1:6" x14ac:dyDescent="0.25">
      <c r="A33" s="226" t="s">
        <v>261</v>
      </c>
      <c r="B33" s="227">
        <v>573</v>
      </c>
      <c r="C33" s="227">
        <v>1256</v>
      </c>
      <c r="D33" s="227">
        <f t="shared" si="0"/>
        <v>1829</v>
      </c>
      <c r="E33" s="227">
        <f>'Tab 12 - Land Absorption'!M8</f>
        <v>120.53293101622747</v>
      </c>
      <c r="F33" s="227">
        <f t="shared" si="1"/>
        <v>1708.4670689837726</v>
      </c>
    </row>
    <row r="34" spans="1:6" x14ac:dyDescent="0.25">
      <c r="A34" s="226" t="s">
        <v>262</v>
      </c>
      <c r="B34" s="227"/>
      <c r="C34" s="227">
        <v>762</v>
      </c>
      <c r="D34" s="227">
        <f t="shared" si="0"/>
        <v>762</v>
      </c>
      <c r="E34" s="227">
        <f>'Tab 12 - Land Absorption'!M7</f>
        <v>42.691931765385554</v>
      </c>
      <c r="F34" s="227">
        <f t="shared" si="1"/>
        <v>719.30806823461444</v>
      </c>
    </row>
    <row r="35" spans="1:6" x14ac:dyDescent="0.25">
      <c r="A35" s="226" t="s">
        <v>263</v>
      </c>
      <c r="B35" s="227">
        <v>211</v>
      </c>
      <c r="C35" s="227">
        <v>711</v>
      </c>
      <c r="D35" s="227">
        <f t="shared" si="0"/>
        <v>922</v>
      </c>
      <c r="E35" s="227">
        <f>'Tab 12 - Land Absorption'!M9</f>
        <v>35.363274084299803</v>
      </c>
      <c r="F35" s="227">
        <f t="shared" si="1"/>
        <v>886.63672591570025</v>
      </c>
    </row>
    <row r="36" spans="1:6" x14ac:dyDescent="0.25">
      <c r="A36" s="230" t="s">
        <v>264</v>
      </c>
      <c r="B36" s="231">
        <f>SUM(B30:B35)</f>
        <v>828</v>
      </c>
      <c r="C36" s="231">
        <f>SUM(C30:C35)</f>
        <v>4074</v>
      </c>
      <c r="D36" s="231">
        <f t="shared" si="0"/>
        <v>4902</v>
      </c>
      <c r="E36" s="231">
        <f>SUM(E30:E35)</f>
        <v>290</v>
      </c>
      <c r="F36" s="231">
        <f>SUM(F30:F35)</f>
        <v>4612</v>
      </c>
    </row>
  </sheetData>
  <hyperlinks>
    <hyperlink ref="H5" r:id="rId1" xr:uid="{20B73C96-E5EE-4723-9677-5B1E0EF3BE73}"/>
  </hyperlinks>
  <pageMargins left="0.7" right="0.7" top="0.75" bottom="0.75" header="0.3" footer="0.3"/>
  <pageSetup orientation="portrait" verticalDpi="300"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3E012-942D-4007-A1CE-438FB7D6EA43}">
  <dimension ref="A1:AC18"/>
  <sheetViews>
    <sheetView zoomScale="90" zoomScaleNormal="90" workbookViewId="0">
      <pane xSplit="4" ySplit="3" topLeftCell="E4" activePane="bottomRight" state="frozen"/>
      <selection pane="topRight" activeCell="E1" sqref="E1"/>
      <selection pane="bottomLeft" activeCell="A4" sqref="A4"/>
      <selection pane="bottomRight" activeCell="P12" sqref="P12"/>
    </sheetView>
  </sheetViews>
  <sheetFormatPr defaultColWidth="9.21875" defaultRowHeight="13.2" x14ac:dyDescent="0.25"/>
  <cols>
    <col min="1" max="1" width="16.21875" style="124" bestFit="1" customWidth="1"/>
    <col min="2" max="3" width="14.44140625" style="124" hidden="1" customWidth="1"/>
    <col min="4" max="5" width="14.44140625" style="124" customWidth="1"/>
    <col min="6" max="27" width="10.77734375" style="124" customWidth="1"/>
    <col min="28" max="28" width="9.21875" style="124" customWidth="1"/>
    <col min="29" max="16384" width="9.21875" style="124"/>
  </cols>
  <sheetData>
    <row r="1" spans="1:29" x14ac:dyDescent="0.25">
      <c r="A1" s="123" t="s">
        <v>107</v>
      </c>
      <c r="B1" s="125" t="s">
        <v>265</v>
      </c>
      <c r="C1" s="125" t="s">
        <v>266</v>
      </c>
      <c r="D1" s="125" t="s">
        <v>267</v>
      </c>
      <c r="E1" s="125" t="s">
        <v>268</v>
      </c>
      <c r="F1" s="125">
        <v>2016</v>
      </c>
      <c r="G1" s="125">
        <f t="shared" ref="G1:AB1" si="0">F1+1</f>
        <v>2017</v>
      </c>
      <c r="H1" s="125">
        <f t="shared" si="0"/>
        <v>2018</v>
      </c>
      <c r="I1" s="125">
        <f t="shared" si="0"/>
        <v>2019</v>
      </c>
      <c r="J1" s="125">
        <f t="shared" si="0"/>
        <v>2020</v>
      </c>
      <c r="K1" s="125">
        <f t="shared" si="0"/>
        <v>2021</v>
      </c>
      <c r="L1" s="125">
        <f t="shared" si="0"/>
        <v>2022</v>
      </c>
      <c r="M1" s="125">
        <f t="shared" si="0"/>
        <v>2023</v>
      </c>
      <c r="N1" s="125">
        <f t="shared" si="0"/>
        <v>2024</v>
      </c>
      <c r="O1" s="125">
        <f t="shared" si="0"/>
        <v>2025</v>
      </c>
      <c r="P1" s="125">
        <f t="shared" si="0"/>
        <v>2026</v>
      </c>
      <c r="Q1" s="125">
        <f t="shared" si="0"/>
        <v>2027</v>
      </c>
      <c r="R1" s="125">
        <f t="shared" si="0"/>
        <v>2028</v>
      </c>
      <c r="S1" s="125">
        <f t="shared" si="0"/>
        <v>2029</v>
      </c>
      <c r="T1" s="125">
        <f t="shared" si="0"/>
        <v>2030</v>
      </c>
      <c r="U1" s="125">
        <f t="shared" si="0"/>
        <v>2031</v>
      </c>
      <c r="V1" s="125">
        <f t="shared" si="0"/>
        <v>2032</v>
      </c>
      <c r="W1" s="125">
        <f t="shared" si="0"/>
        <v>2033</v>
      </c>
      <c r="X1" s="125">
        <f t="shared" si="0"/>
        <v>2034</v>
      </c>
      <c r="Y1" s="125">
        <f t="shared" si="0"/>
        <v>2035</v>
      </c>
      <c r="Z1" s="125">
        <f t="shared" si="0"/>
        <v>2036</v>
      </c>
      <c r="AA1" s="125">
        <f t="shared" si="0"/>
        <v>2037</v>
      </c>
      <c r="AB1" s="125">
        <f t="shared" si="0"/>
        <v>2038</v>
      </c>
    </row>
    <row r="2" spans="1:29" x14ac:dyDescent="0.2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29" x14ac:dyDescent="0.25">
      <c r="A3" s="123" t="s">
        <v>269</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row>
    <row r="4" spans="1:29" x14ac:dyDescent="0.25">
      <c r="A4" s="126" t="s">
        <v>22</v>
      </c>
      <c r="B4" s="173">
        <f>SUM(F4:L4)/SUM($F$10:$L$10)</f>
        <v>0.22931274807073534</v>
      </c>
      <c r="C4" s="173">
        <f>SUM(J4:L4)/SUM($J$10:$L$10)</f>
        <v>0.24182359384379276</v>
      </c>
      <c r="D4" s="127">
        <f>AVERAGE(B4:C4)</f>
        <v>0.23556817095726407</v>
      </c>
      <c r="E4" s="127">
        <f>('Tab 11 - General'!F30-SUM('Tab 12 - Land Absorption'!N4:Q4))/('Tab 11 - General'!$F$36-SUM('Tab 12 - Land Absorption'!$N$10:$Q$10))</f>
        <v>0.20564760286113073</v>
      </c>
      <c r="F4" s="122">
        <v>9.447000000000001</v>
      </c>
      <c r="G4" s="122">
        <v>76.499000000000009</v>
      </c>
      <c r="H4" s="122">
        <v>77.132999999999996</v>
      </c>
      <c r="I4" s="122">
        <v>38.168999999999997</v>
      </c>
      <c r="J4" s="122">
        <v>72.396999999999991</v>
      </c>
      <c r="K4" s="106">
        <v>76.210999999999999</v>
      </c>
      <c r="L4" s="106">
        <v>124.931</v>
      </c>
      <c r="M4" s="175">
        <f>$M$12*$D4</f>
        <v>68.314769577606583</v>
      </c>
      <c r="N4" s="175">
        <f>$N$12*$D4</f>
        <v>72.79056482579459</v>
      </c>
      <c r="O4" s="175">
        <f>$O$12*$D4</f>
        <v>77.030791903025346</v>
      </c>
      <c r="P4" s="175">
        <f>$P$12*$D4</f>
        <v>75.61738287728177</v>
      </c>
      <c r="Q4" s="175">
        <f>$Q$12*$D4</f>
        <v>75.61738287728177</v>
      </c>
      <c r="R4" s="175">
        <f>R12*$E4</f>
        <v>65.494833222366509</v>
      </c>
      <c r="S4" s="175">
        <f t="shared" ref="S4:AB4" si="1">S12*$E4</f>
        <v>64.976785926310043</v>
      </c>
      <c r="T4" s="175">
        <f t="shared" si="1"/>
        <v>64.458738630253578</v>
      </c>
      <c r="U4" s="175">
        <f t="shared" si="1"/>
        <v>63.940691334197119</v>
      </c>
      <c r="V4" s="175">
        <f t="shared" si="1"/>
        <v>63.42264403814066</v>
      </c>
      <c r="W4" s="175">
        <f t="shared" si="1"/>
        <v>62.904596742084195</v>
      </c>
      <c r="X4" s="175">
        <f t="shared" si="1"/>
        <v>62.386549446027736</v>
      </c>
      <c r="Y4" s="175">
        <f t="shared" si="1"/>
        <v>61.86850214997127</v>
      </c>
      <c r="Z4" s="175">
        <f t="shared" si="1"/>
        <v>61.350454853914812</v>
      </c>
      <c r="AA4" s="175">
        <f t="shared" si="1"/>
        <v>60.832407557858346</v>
      </c>
      <c r="AB4" s="175">
        <f t="shared" si="1"/>
        <v>53.992904037885666</v>
      </c>
      <c r="AC4" s="176"/>
    </row>
    <row r="5" spans="1:29" x14ac:dyDescent="0.25">
      <c r="A5" s="126" t="s">
        <v>270</v>
      </c>
      <c r="B5" s="173">
        <f t="shared" ref="B5:B9" si="2">SUM(F5:L5)/SUM($F$10:$L$10)</f>
        <v>3.660217592266133E-2</v>
      </c>
      <c r="C5" s="173">
        <f t="shared" ref="C5:C9" si="3">SUM(J5:L5)/SUM($J$10:$L$10)</f>
        <v>4.3502591608016977E-2</v>
      </c>
      <c r="D5" s="127">
        <f t="shared" ref="D5:D9" si="4">AVERAGE(B5:C5)</f>
        <v>4.005238376533915E-2</v>
      </c>
      <c r="E5" s="127">
        <f>('Tab 11 - General'!F31-SUM('Tab 12 - Land Absorption'!N5:Q5))/('Tab 11 - General'!$F$36-SUM('Tab 12 - Land Absorption'!$N$10:$Q$10))</f>
        <v>1.14570672633318E-2</v>
      </c>
      <c r="F5" s="122">
        <v>1.167</v>
      </c>
      <c r="G5" s="122">
        <v>10.321</v>
      </c>
      <c r="H5" s="122">
        <v>14.269</v>
      </c>
      <c r="I5" s="122">
        <v>0.81899999999999995</v>
      </c>
      <c r="J5" s="122">
        <v>19.201000000000001</v>
      </c>
      <c r="K5" s="106">
        <v>14.285</v>
      </c>
      <c r="L5" s="106">
        <v>15.722</v>
      </c>
      <c r="M5" s="175">
        <f>$M$12*$D5</f>
        <v>11.615191291948353</v>
      </c>
      <c r="N5" s="175">
        <f t="shared" ref="N5:N9" si="5">$N$12*$D5</f>
        <v>12.376186583489797</v>
      </c>
      <c r="O5" s="175">
        <f t="shared" ref="O5:O9" si="6">$O$12*$D5</f>
        <v>13.097129491265902</v>
      </c>
      <c r="P5" s="175">
        <f t="shared" ref="P5:P9" si="7">$P$12*$D5</f>
        <v>12.856815188673867</v>
      </c>
      <c r="Q5" s="175">
        <f t="shared" ref="Q5:Q9" si="8">$Q$12*$D5</f>
        <v>12.856815188673867</v>
      </c>
      <c r="R5" s="175">
        <f>R12*$E5</f>
        <v>3.648857070004679</v>
      </c>
      <c r="S5" s="175">
        <f t="shared" ref="S5:AB5" si="9">S12*$E5</f>
        <v>3.6199955484798494</v>
      </c>
      <c r="T5" s="175">
        <f t="shared" si="9"/>
        <v>3.5911340269550203</v>
      </c>
      <c r="U5" s="175">
        <f t="shared" si="9"/>
        <v>3.5622725054301911</v>
      </c>
      <c r="V5" s="175">
        <f t="shared" si="9"/>
        <v>3.533410983905362</v>
      </c>
      <c r="W5" s="175">
        <f t="shared" si="9"/>
        <v>3.5045494623805329</v>
      </c>
      <c r="X5" s="175">
        <f t="shared" si="9"/>
        <v>3.4756879408557038</v>
      </c>
      <c r="Y5" s="175">
        <f t="shared" si="9"/>
        <v>3.4468264193308746</v>
      </c>
      <c r="Z5" s="175">
        <f t="shared" si="9"/>
        <v>3.4179648978060455</v>
      </c>
      <c r="AA5" s="175">
        <f t="shared" si="9"/>
        <v>3.3891033762812164</v>
      </c>
      <c r="AB5" s="175">
        <f t="shared" si="9"/>
        <v>3.0080600245187505</v>
      </c>
      <c r="AC5" s="176"/>
    </row>
    <row r="6" spans="1:29" x14ac:dyDescent="0.25">
      <c r="A6" s="126" t="s">
        <v>31</v>
      </c>
      <c r="B6" s="173">
        <f t="shared" si="2"/>
        <v>2.7976631483164757E-2</v>
      </c>
      <c r="C6" s="173">
        <f t="shared" si="3"/>
        <v>5.1208901375678406E-2</v>
      </c>
      <c r="D6" s="127">
        <f t="shared" si="4"/>
        <v>3.9592766429421583E-2</v>
      </c>
      <c r="E6" s="127">
        <f>('Tab 11 - General'!F32-SUM('Tab 12 - Land Absorption'!N6:Q6))/('Tab 11 - General'!$F$36-SUM('Tab 12 - Land Absorption'!$N$10:$Q$10))</f>
        <v>5.126530960967815E-2</v>
      </c>
      <c r="F6" s="122">
        <v>0</v>
      </c>
      <c r="G6" s="122">
        <v>0</v>
      </c>
      <c r="H6" s="122">
        <v>0</v>
      </c>
      <c r="I6" s="122">
        <v>0</v>
      </c>
      <c r="J6" s="122">
        <v>15.467000000000001</v>
      </c>
      <c r="K6" s="106">
        <v>10.281000000000001</v>
      </c>
      <c r="L6" s="106">
        <v>32.177</v>
      </c>
      <c r="M6" s="175">
        <f t="shared" ref="M6:M9" si="10">$M$12*$D6</f>
        <v>11.481902264532259</v>
      </c>
      <c r="N6" s="175">
        <f t="shared" si="5"/>
        <v>12.23416482669127</v>
      </c>
      <c r="O6" s="175">
        <f t="shared" si="6"/>
        <v>12.946834622420857</v>
      </c>
      <c r="P6" s="175">
        <f t="shared" si="7"/>
        <v>12.709278023844329</v>
      </c>
      <c r="Q6" s="175">
        <f t="shared" si="8"/>
        <v>12.709278023844329</v>
      </c>
      <c r="R6" s="175">
        <f>R12*$E6</f>
        <v>16.327021838645866</v>
      </c>
      <c r="S6" s="175">
        <f t="shared" ref="S6:AB6" si="11">S12*$E6</f>
        <v>16.197879292585043</v>
      </c>
      <c r="T6" s="175">
        <f t="shared" si="11"/>
        <v>16.068736746524223</v>
      </c>
      <c r="U6" s="175">
        <f t="shared" si="11"/>
        <v>15.9395942004634</v>
      </c>
      <c r="V6" s="175">
        <f t="shared" si="11"/>
        <v>15.810451654402579</v>
      </c>
      <c r="W6" s="175">
        <f t="shared" si="11"/>
        <v>15.681309108341758</v>
      </c>
      <c r="X6" s="175">
        <f t="shared" si="11"/>
        <v>15.552166562280936</v>
      </c>
      <c r="Y6" s="175">
        <f t="shared" si="11"/>
        <v>15.423024016220115</v>
      </c>
      <c r="Z6" s="175">
        <f t="shared" si="11"/>
        <v>15.293881470159292</v>
      </c>
      <c r="AA6" s="175">
        <f t="shared" si="11"/>
        <v>15.16473892409847</v>
      </c>
      <c r="AB6" s="175">
        <f t="shared" si="11"/>
        <v>13.459738424945289</v>
      </c>
      <c r="AC6" s="176"/>
    </row>
    <row r="7" spans="1:29" x14ac:dyDescent="0.25">
      <c r="A7" s="126" t="s">
        <v>34</v>
      </c>
      <c r="B7" s="173">
        <f t="shared" si="2"/>
        <v>0.15883337084480009</v>
      </c>
      <c r="C7" s="173">
        <f t="shared" si="3"/>
        <v>0.1355937447785486</v>
      </c>
      <c r="D7" s="127">
        <f t="shared" si="4"/>
        <v>0.14721355781167433</v>
      </c>
      <c r="E7" s="127">
        <f>('Tab 11 - General'!F34-SUM('Tab 12 - Land Absorption'!N7:Q7))/('Tab 11 - General'!$F$36-SUM('Tab 12 - Land Absorption'!$N$10:$Q$10))</f>
        <v>0.15931887862966249</v>
      </c>
      <c r="F7" s="122">
        <v>9.4930000000000003</v>
      </c>
      <c r="G7" s="122">
        <v>81.025999999999996</v>
      </c>
      <c r="H7" s="122">
        <v>67.72</v>
      </c>
      <c r="I7" s="122">
        <v>17.245000000000001</v>
      </c>
      <c r="J7" s="122">
        <v>28.114000000000001</v>
      </c>
      <c r="K7" s="106">
        <v>52.118000000000002</v>
      </c>
      <c r="L7" s="106">
        <v>73.144999999999996</v>
      </c>
      <c r="M7" s="175">
        <f>$M$12*$D7</f>
        <v>42.691931765385554</v>
      </c>
      <c r="N7" s="175">
        <f t="shared" si="5"/>
        <v>45.48898936380737</v>
      </c>
      <c r="O7" s="175">
        <f t="shared" si="6"/>
        <v>48.138833404417504</v>
      </c>
      <c r="P7" s="175">
        <f t="shared" si="7"/>
        <v>47.255552057547462</v>
      </c>
      <c r="Q7" s="175">
        <f t="shared" si="8"/>
        <v>47.255552057547462</v>
      </c>
      <c r="R7" s="175">
        <f>R12*$E7</f>
        <v>50.740019527825105</v>
      </c>
      <c r="S7" s="175">
        <f t="shared" ref="S7:AB7" si="12">S12*$E7</f>
        <v>50.338679015528555</v>
      </c>
      <c r="T7" s="175">
        <f t="shared" si="12"/>
        <v>49.937338503231999</v>
      </c>
      <c r="U7" s="175">
        <f t="shared" si="12"/>
        <v>49.535997990935449</v>
      </c>
      <c r="V7" s="175">
        <f t="shared" si="12"/>
        <v>49.134657478638893</v>
      </c>
      <c r="W7" s="175">
        <f t="shared" si="12"/>
        <v>48.733316966342343</v>
      </c>
      <c r="X7" s="175">
        <f t="shared" si="12"/>
        <v>48.331976454045787</v>
      </c>
      <c r="Y7" s="175">
        <f t="shared" si="12"/>
        <v>47.930635941749237</v>
      </c>
      <c r="Z7" s="175">
        <f t="shared" si="12"/>
        <v>47.529295429452681</v>
      </c>
      <c r="AA7" s="175">
        <f t="shared" si="12"/>
        <v>47.127954917156131</v>
      </c>
      <c r="AB7" s="175">
        <f t="shared" si="12"/>
        <v>41.829269126388596</v>
      </c>
      <c r="AC7" s="176"/>
    </row>
    <row r="8" spans="1:29" x14ac:dyDescent="0.25">
      <c r="A8" s="126" t="s">
        <v>25</v>
      </c>
      <c r="B8" s="173">
        <f t="shared" si="2"/>
        <v>0.44223749298471177</v>
      </c>
      <c r="C8" s="173">
        <f t="shared" si="3"/>
        <v>0.38902410023065009</v>
      </c>
      <c r="D8" s="127">
        <f t="shared" si="4"/>
        <v>0.41563079660768093</v>
      </c>
      <c r="E8" s="127">
        <f>('Tab 11 - General'!F33-SUM('Tab 12 - Land Absorption'!N8:Q8))/('Tab 11 - General'!$F$36-SUM('Tab 12 - Land Absorption'!$N$10:$Q$10))</f>
        <v>0.35311664994575775</v>
      </c>
      <c r="F8" s="122">
        <v>42.799000000000007</v>
      </c>
      <c r="G8" s="122">
        <v>155.745</v>
      </c>
      <c r="H8" s="122">
        <v>190.30799999999999</v>
      </c>
      <c r="I8" s="122">
        <v>86.745999999999995</v>
      </c>
      <c r="J8" s="122">
        <v>87.592000000000013</v>
      </c>
      <c r="K8" s="106">
        <v>158.012</v>
      </c>
      <c r="L8" s="106">
        <v>194.441</v>
      </c>
      <c r="M8" s="175">
        <f t="shared" si="10"/>
        <v>120.53293101622747</v>
      </c>
      <c r="N8" s="175">
        <f t="shared" si="5"/>
        <v>128.4299161517734</v>
      </c>
      <c r="O8" s="175">
        <f t="shared" si="6"/>
        <v>135.91127049071167</v>
      </c>
      <c r="P8" s="175">
        <f t="shared" si="7"/>
        <v>133.41748571106558</v>
      </c>
      <c r="Q8" s="175">
        <f t="shared" si="8"/>
        <v>133.41748571106558</v>
      </c>
      <c r="R8" s="175">
        <f>R12*$E8</f>
        <v>112.46090775906366</v>
      </c>
      <c r="S8" s="175">
        <f t="shared" ref="S8:AB8" si="13">S12*$E8</f>
        <v>111.57137088553907</v>
      </c>
      <c r="T8" s="175">
        <f t="shared" si="13"/>
        <v>110.68183401201448</v>
      </c>
      <c r="U8" s="175">
        <f t="shared" si="13"/>
        <v>109.7922971384899</v>
      </c>
      <c r="V8" s="175">
        <f t="shared" si="13"/>
        <v>108.90276026496531</v>
      </c>
      <c r="W8" s="175">
        <f t="shared" si="13"/>
        <v>108.01322339144072</v>
      </c>
      <c r="X8" s="175">
        <f t="shared" si="13"/>
        <v>107.12368651791614</v>
      </c>
      <c r="Y8" s="175">
        <f t="shared" si="13"/>
        <v>106.23414964439155</v>
      </c>
      <c r="Z8" s="175">
        <f t="shared" si="13"/>
        <v>105.34461277086697</v>
      </c>
      <c r="AA8" s="175">
        <f t="shared" si="13"/>
        <v>104.45507589734238</v>
      </c>
      <c r="AB8" s="175">
        <f t="shared" si="13"/>
        <v>92.710992637126282</v>
      </c>
      <c r="AC8" s="176"/>
    </row>
    <row r="9" spans="1:29" x14ac:dyDescent="0.25">
      <c r="A9" s="126" t="s">
        <v>28</v>
      </c>
      <c r="B9" s="173">
        <f t="shared" si="2"/>
        <v>0.10503758069392671</v>
      </c>
      <c r="C9" s="173">
        <f t="shared" si="3"/>
        <v>0.13884706816331333</v>
      </c>
      <c r="D9" s="127">
        <f t="shared" si="4"/>
        <v>0.12194232442862002</v>
      </c>
      <c r="E9" s="127">
        <f>('Tab 11 - General'!F35-SUM('Tab 12 - Land Absorption'!N9:Q9))/('Tab 11 - General'!$F$36-SUM('Tab 12 - Land Absorption'!$N$10:$Q$10))</f>
        <v>0.21919449169043909</v>
      </c>
      <c r="F9" s="122">
        <v>15.196999999999999</v>
      </c>
      <c r="G9" s="122">
        <v>19.170999999999999</v>
      </c>
      <c r="H9" s="122">
        <v>22.802999999999997</v>
      </c>
      <c r="I9" s="122">
        <v>3.25</v>
      </c>
      <c r="J9" s="122">
        <v>38.161000000000008</v>
      </c>
      <c r="K9" s="106">
        <v>53.806000000000004</v>
      </c>
      <c r="L9" s="106">
        <v>65.09</v>
      </c>
      <c r="M9" s="175">
        <f t="shared" si="10"/>
        <v>35.363274084299803</v>
      </c>
      <c r="N9" s="175">
        <f t="shared" si="5"/>
        <v>37.680178248443589</v>
      </c>
      <c r="O9" s="175">
        <f t="shared" si="6"/>
        <v>39.875140088158744</v>
      </c>
      <c r="P9" s="175">
        <f t="shared" si="7"/>
        <v>39.143486141587026</v>
      </c>
      <c r="Q9" s="175">
        <f t="shared" si="8"/>
        <v>39.143486141587026</v>
      </c>
      <c r="R9" s="175">
        <f>R12*$E9</f>
        <v>69.809258541277856</v>
      </c>
      <c r="S9" s="175">
        <f t="shared" ref="S9:AB9" si="14">S12*$E9</f>
        <v>69.257085249924785</v>
      </c>
      <c r="T9" s="175">
        <f t="shared" si="14"/>
        <v>68.704911958571699</v>
      </c>
      <c r="U9" s="175">
        <f t="shared" si="14"/>
        <v>68.152738667218614</v>
      </c>
      <c r="V9" s="175">
        <f t="shared" si="14"/>
        <v>67.600565375865528</v>
      </c>
      <c r="W9" s="175">
        <f t="shared" si="14"/>
        <v>67.048392084512443</v>
      </c>
      <c r="X9" s="175">
        <f t="shared" si="14"/>
        <v>66.496218793159358</v>
      </c>
      <c r="Y9" s="175">
        <f t="shared" si="14"/>
        <v>65.944045501806272</v>
      </c>
      <c r="Z9" s="175">
        <f t="shared" si="14"/>
        <v>65.391872210453187</v>
      </c>
      <c r="AA9" s="175">
        <f t="shared" si="14"/>
        <v>64.839698919100101</v>
      </c>
      <c r="AB9" s="175">
        <f t="shared" si="14"/>
        <v>57.549647994034146</v>
      </c>
      <c r="AC9" s="176"/>
    </row>
    <row r="10" spans="1:29" x14ac:dyDescent="0.25">
      <c r="A10" s="123" t="s">
        <v>271</v>
      </c>
      <c r="B10" s="174">
        <f>SUM(B4:B9)</f>
        <v>1</v>
      </c>
      <c r="C10" s="174">
        <f t="shared" ref="C10:AB10" si="15">SUM(C4:C9)</f>
        <v>1.0000000000000002</v>
      </c>
      <c r="D10" s="128">
        <f t="shared" si="15"/>
        <v>1</v>
      </c>
      <c r="E10" s="128">
        <f t="shared" si="15"/>
        <v>1</v>
      </c>
      <c r="F10" s="129">
        <f>SUM(F4:F9)</f>
        <v>78.103000000000009</v>
      </c>
      <c r="G10" s="129">
        <f t="shared" ref="G10:L10" si="16">SUM(G4:G9)</f>
        <v>342.762</v>
      </c>
      <c r="H10" s="129">
        <f t="shared" si="16"/>
        <v>372.233</v>
      </c>
      <c r="I10" s="129">
        <f t="shared" si="16"/>
        <v>146.22899999999998</v>
      </c>
      <c r="J10" s="129">
        <f t="shared" si="16"/>
        <v>260.93200000000002</v>
      </c>
      <c r="K10" s="129">
        <f t="shared" si="16"/>
        <v>364.71300000000002</v>
      </c>
      <c r="L10" s="129">
        <f t="shared" si="16"/>
        <v>505.50599999999997</v>
      </c>
      <c r="M10" s="129">
        <f t="shared" si="15"/>
        <v>290</v>
      </c>
      <c r="N10" s="129">
        <f t="shared" si="15"/>
        <v>309.00000000000006</v>
      </c>
      <c r="O10" s="129">
        <f t="shared" si="15"/>
        <v>327</v>
      </c>
      <c r="P10" s="129">
        <f t="shared" si="15"/>
        <v>321</v>
      </c>
      <c r="Q10" s="129">
        <f t="shared" si="15"/>
        <v>321</v>
      </c>
      <c r="R10" s="129">
        <f t="shared" si="15"/>
        <v>318.48089795918366</v>
      </c>
      <c r="S10" s="129">
        <f t="shared" si="15"/>
        <v>315.96179591836733</v>
      </c>
      <c r="T10" s="129">
        <f t="shared" si="15"/>
        <v>313.44269387755099</v>
      </c>
      <c r="U10" s="129">
        <f t="shared" si="15"/>
        <v>310.92359183673466</v>
      </c>
      <c r="V10" s="129">
        <f t="shared" si="15"/>
        <v>308.40448979591832</v>
      </c>
      <c r="W10" s="129">
        <f t="shared" si="15"/>
        <v>305.88538775510199</v>
      </c>
      <c r="X10" s="129">
        <f t="shared" si="15"/>
        <v>303.36628571428565</v>
      </c>
      <c r="Y10" s="129">
        <f t="shared" si="15"/>
        <v>300.84718367346932</v>
      </c>
      <c r="Z10" s="129">
        <f t="shared" si="15"/>
        <v>298.32808163265298</v>
      </c>
      <c r="AA10" s="129">
        <f t="shared" si="15"/>
        <v>295.80897959183665</v>
      </c>
      <c r="AB10" s="129">
        <f t="shared" si="15"/>
        <v>262.55061224489873</v>
      </c>
    </row>
    <row r="12" spans="1:29" x14ac:dyDescent="0.25">
      <c r="A12" s="53"/>
      <c r="K12" s="167"/>
      <c r="M12" s="124">
        <v>290</v>
      </c>
      <c r="N12" s="124">
        <f>'Tab 2 - Citywide'!P11</f>
        <v>309</v>
      </c>
      <c r="O12" s="124">
        <f>'Tab 2 - Citywide'!Q11</f>
        <v>327</v>
      </c>
      <c r="P12" s="124">
        <f>'Tab 2 - Citywide'!R11</f>
        <v>321</v>
      </c>
      <c r="Q12" s="124">
        <f>'Tab 2 - Citywide'!S11</f>
        <v>321</v>
      </c>
      <c r="R12" s="235">
        <v>318.48089795918366</v>
      </c>
      <c r="S12" s="235">
        <v>315.96179591836733</v>
      </c>
      <c r="T12" s="235">
        <v>313.44269387755099</v>
      </c>
      <c r="U12" s="235">
        <v>310.92359183673466</v>
      </c>
      <c r="V12" s="235">
        <v>308.40448979591832</v>
      </c>
      <c r="W12" s="235">
        <v>305.88538775510199</v>
      </c>
      <c r="X12" s="235">
        <v>303.36628571428565</v>
      </c>
      <c r="Y12" s="235">
        <v>300.84718367346932</v>
      </c>
      <c r="Z12" s="235">
        <v>298.32808163265298</v>
      </c>
      <c r="AA12" s="235">
        <v>295.80897959183665</v>
      </c>
      <c r="AB12" s="235">
        <v>262.55061224489873</v>
      </c>
    </row>
    <row r="13" spans="1:29" x14ac:dyDescent="0.25">
      <c r="A13" s="53"/>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row>
    <row r="14" spans="1:29" x14ac:dyDescent="0.25">
      <c r="A14" s="53"/>
      <c r="B14" s="122"/>
      <c r="C14" s="122"/>
      <c r="D14" s="122"/>
      <c r="E14" s="122"/>
      <c r="F14" s="122"/>
      <c r="G14" s="122"/>
      <c r="H14" s="122"/>
      <c r="I14" s="130"/>
      <c r="J14" s="130"/>
      <c r="K14" s="130"/>
      <c r="L14" s="130"/>
      <c r="M14" s="102"/>
      <c r="N14" s="102"/>
      <c r="O14" s="102"/>
      <c r="P14" s="102"/>
      <c r="Q14" s="102"/>
      <c r="R14" s="232"/>
      <c r="S14" s="102"/>
      <c r="T14" s="102"/>
      <c r="U14" s="102"/>
      <c r="V14" s="102"/>
      <c r="W14" s="102"/>
      <c r="X14" s="102"/>
      <c r="Y14" s="102"/>
      <c r="Z14" s="102"/>
      <c r="AA14" s="102"/>
      <c r="AB14" s="176"/>
    </row>
    <row r="15" spans="1:29" x14ac:dyDescent="0.25">
      <c r="A15" s="53"/>
    </row>
    <row r="16" spans="1:29" x14ac:dyDescent="0.25">
      <c r="A16" s="53"/>
    </row>
    <row r="17" spans="1:18" x14ac:dyDescent="0.25">
      <c r="A17" s="53"/>
      <c r="R17" s="233"/>
    </row>
    <row r="18" spans="1:18" x14ac:dyDescent="0.25">
      <c r="F18" s="164"/>
      <c r="G18" s="164"/>
      <c r="H18" s="164"/>
      <c r="I18" s="164"/>
      <c r="J18" s="164"/>
      <c r="K18" s="164"/>
    </row>
  </sheetData>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D0E8D-48B5-4767-8B37-EB4A8A0D84DA}">
  <sheetPr codeName="Sheet3"/>
  <dimension ref="A1:J19"/>
  <sheetViews>
    <sheetView showGridLines="0" workbookViewId="0">
      <selection activeCell="A3" sqref="A3"/>
    </sheetView>
  </sheetViews>
  <sheetFormatPr defaultColWidth="9.21875" defaultRowHeight="14.4" x14ac:dyDescent="0.3"/>
  <cols>
    <col min="1" max="1" width="22.21875" style="182" bestFit="1" customWidth="1"/>
    <col min="2" max="7" width="30.5546875" style="182" customWidth="1"/>
    <col min="8" max="16384" width="9.21875" style="182"/>
  </cols>
  <sheetData>
    <row r="1" spans="1:10" s="185" customFormat="1" ht="15.6" x14ac:dyDescent="0.3">
      <c r="A1" s="183" t="s">
        <v>42</v>
      </c>
      <c r="C1" s="184"/>
      <c r="D1" s="184"/>
      <c r="E1" s="184"/>
      <c r="F1" s="184"/>
      <c r="G1" s="184"/>
      <c r="H1" s="184"/>
      <c r="I1" s="184"/>
    </row>
    <row r="2" spans="1:10" s="188" customFormat="1" ht="13.2" x14ac:dyDescent="0.25">
      <c r="A2" s="186" t="s">
        <v>43</v>
      </c>
      <c r="B2" s="187"/>
      <c r="C2" s="187"/>
      <c r="D2" s="187"/>
      <c r="E2" s="187"/>
      <c r="F2" s="187"/>
      <c r="G2" s="187"/>
      <c r="H2" s="187"/>
      <c r="I2" s="187"/>
    </row>
    <row r="3" spans="1:10" s="188" customFormat="1" ht="13.2" x14ac:dyDescent="0.25">
      <c r="A3" s="189" t="s">
        <v>44</v>
      </c>
      <c r="B3" s="190"/>
      <c r="C3" s="191"/>
      <c r="D3" s="191"/>
      <c r="E3" s="190"/>
      <c r="F3" s="187"/>
      <c r="G3" s="187"/>
      <c r="H3" s="187"/>
      <c r="I3" s="187"/>
    </row>
    <row r="5" spans="1:10" x14ac:dyDescent="0.3">
      <c r="A5" s="192"/>
      <c r="B5" s="193" t="s">
        <v>45</v>
      </c>
      <c r="C5" s="194" t="s">
        <v>46</v>
      </c>
      <c r="D5" s="193" t="s">
        <v>47</v>
      </c>
      <c r="E5" s="194" t="s">
        <v>48</v>
      </c>
      <c r="F5" s="193" t="s">
        <v>49</v>
      </c>
      <c r="G5" s="194" t="s">
        <v>50</v>
      </c>
    </row>
    <row r="6" spans="1:10" ht="115.2" x14ac:dyDescent="0.3">
      <c r="A6" s="195"/>
      <c r="B6" s="196" t="s">
        <v>51</v>
      </c>
      <c r="C6" s="242" t="s">
        <v>52</v>
      </c>
      <c r="D6" s="241" t="s">
        <v>53</v>
      </c>
      <c r="E6" s="197" t="s">
        <v>54</v>
      </c>
      <c r="F6" s="241" t="s">
        <v>55</v>
      </c>
      <c r="G6" s="197" t="s">
        <v>56</v>
      </c>
      <c r="H6" s="198"/>
      <c r="I6" s="198"/>
      <c r="J6" s="198"/>
    </row>
    <row r="7" spans="1:10" x14ac:dyDescent="0.3">
      <c r="A7" s="192"/>
      <c r="B7" s="199" t="s">
        <v>57</v>
      </c>
      <c r="C7" s="200" t="s">
        <v>58</v>
      </c>
      <c r="D7" s="199" t="s">
        <v>59</v>
      </c>
      <c r="E7" s="200" t="s">
        <v>60</v>
      </c>
      <c r="F7" s="199" t="s">
        <v>61</v>
      </c>
      <c r="G7" s="201" t="s">
        <v>62</v>
      </c>
    </row>
    <row r="8" spans="1:10" x14ac:dyDescent="0.3">
      <c r="A8" s="195" t="s">
        <v>63</v>
      </c>
      <c r="B8" s="202">
        <f>SUM('Tab 4 - Balance'!N11:N102)*1000</f>
        <v>32541351.311922774</v>
      </c>
      <c r="C8" s="203">
        <f>SUM('Tab 5 - Capital'!Q40:AC40)*1000</f>
        <v>34879018.719999999</v>
      </c>
      <c r="D8" s="202">
        <f>SUM(D12:D17)</f>
        <v>184482407.14164087</v>
      </c>
      <c r="E8" s="203">
        <f>'Tab 2 - Citywide'!N18</f>
        <v>102419823.92784469</v>
      </c>
      <c r="F8" s="204">
        <f>'Tab 2 - Citywide'!M14</f>
        <v>134858933.32425299</v>
      </c>
      <c r="G8" s="205">
        <f>'Tab 2 - Citywide'!K12</f>
        <v>20869.421716969464</v>
      </c>
    </row>
    <row r="9" spans="1:10" x14ac:dyDescent="0.3">
      <c r="A9" s="195"/>
      <c r="B9" s="206"/>
      <c r="C9" s="207"/>
      <c r="D9" s="206"/>
      <c r="E9" s="207"/>
      <c r="F9" s="208"/>
      <c r="G9" s="209"/>
    </row>
    <row r="10" spans="1:10" x14ac:dyDescent="0.3">
      <c r="A10" s="195"/>
      <c r="B10" s="206"/>
      <c r="C10" s="207"/>
      <c r="D10" s="206"/>
      <c r="E10" s="207"/>
      <c r="F10" s="208"/>
      <c r="G10" s="209"/>
    </row>
    <row r="11" spans="1:10" x14ac:dyDescent="0.3">
      <c r="A11" s="195"/>
      <c r="B11" s="206"/>
      <c r="C11" s="207"/>
      <c r="D11" s="206"/>
      <c r="E11" s="207"/>
      <c r="F11" s="208"/>
      <c r="G11" s="209"/>
    </row>
    <row r="12" spans="1:10" x14ac:dyDescent="0.3">
      <c r="A12" s="195" t="s">
        <v>64</v>
      </c>
      <c r="B12" s="206">
        <f>'Tab 4 - Balance'!N26*1000</f>
        <v>11264127.702317705</v>
      </c>
      <c r="C12" s="207">
        <f>SUM('Tab 5 - Capital'!Q39:AC39)*1000</f>
        <v>28618.720000000005</v>
      </c>
      <c r="D12" s="206">
        <f>SUM('Tab 6 - Bow'!AA139:BJ139)*1000</f>
        <v>28390537.37131054</v>
      </c>
      <c r="E12" s="207">
        <f>'Tab 3 - Catchment'!N35</f>
        <v>8359399.3372921068</v>
      </c>
      <c r="F12" s="208">
        <f>'Tab 3 - Catchment'!M27</f>
        <v>10836349.979754556</v>
      </c>
      <c r="G12" s="210">
        <f>'Tab 3 - Catchment'!K20</f>
        <v>7642.1838450099985</v>
      </c>
    </row>
    <row r="13" spans="1:10" x14ac:dyDescent="0.3">
      <c r="A13" s="195" t="s">
        <v>65</v>
      </c>
      <c r="B13" s="206">
        <f>'Tab 4 - Balance'!N77*1000</f>
        <v>27218928.71131181</v>
      </c>
      <c r="C13" s="207">
        <f>SUM('Tab 5 - Capital'!Q35:AC35)*1000</f>
        <v>551200</v>
      </c>
      <c r="D13" s="206">
        <f>SUM('Tab 7 - Nose'!AA139:BJ139)*1000</f>
        <v>47512899.998365283</v>
      </c>
      <c r="E13" s="207">
        <f>'Tab 3 - Catchment'!N36</f>
        <v>6564399.3342671767</v>
      </c>
      <c r="F13" s="208">
        <f>'Tab 3 - Catchment'!M28</f>
        <v>7455544.1557794483</v>
      </c>
      <c r="G13" s="210">
        <f>'Tab 3 - Catchment'!K21</f>
        <v>1535.3764876602513</v>
      </c>
    </row>
    <row r="14" spans="1:10" x14ac:dyDescent="0.3">
      <c r="A14" s="195" t="s">
        <v>66</v>
      </c>
      <c r="B14" s="206">
        <f>'Tab 4 - Balance'!N94*1000</f>
        <v>-14282066.308580086</v>
      </c>
      <c r="C14" s="207">
        <f>SUM('Tab 5 - Capital'!Q37:AC37)*1000</f>
        <v>18408000</v>
      </c>
      <c r="D14" s="206">
        <f>SUM('Tab 8 - Shepard'!AA139:BJ139)*1000</f>
        <v>48852788.163344145</v>
      </c>
      <c r="E14" s="207">
        <f>'Tab 3 - Catchment'!N37</f>
        <v>52521311.751759753</v>
      </c>
      <c r="F14" s="208">
        <f>'Tab 3 - Catchment'!M29</f>
        <v>71599922.474223733</v>
      </c>
      <c r="G14" s="210">
        <f>'Tab 3 - Catchment'!K22</f>
        <v>58327.210600520179</v>
      </c>
    </row>
    <row r="15" spans="1:10" x14ac:dyDescent="0.3">
      <c r="A15" s="195" t="s">
        <v>67</v>
      </c>
      <c r="B15" s="206">
        <f>'Tab 4 - Balance'!N43*1000</f>
        <v>1250590.9462222548</v>
      </c>
      <c r="C15" s="207">
        <f>SUM('Tab 5 - Capital'!Q38:AC38)*1000</f>
        <v>15891200</v>
      </c>
      <c r="D15" s="206">
        <f>SUM('Tab 9 - Fish'!AA139:BJ139)*1000</f>
        <v>38427730.54893937</v>
      </c>
      <c r="E15" s="207">
        <f>'Tab 3 - Catchment'!N38</f>
        <v>27050684.037017401</v>
      </c>
      <c r="F15" s="208">
        <f>'Tab 3 - Catchment'!M30</f>
        <v>36822665.209289946</v>
      </c>
      <c r="G15" s="210">
        <f>'Tab 3 - Catchment'!K23</f>
        <v>125423.60032290977</v>
      </c>
    </row>
    <row r="16" spans="1:10" x14ac:dyDescent="0.3">
      <c r="A16" s="195" t="s">
        <v>68</v>
      </c>
      <c r="B16" s="206">
        <f>'Tab 4 - Balance'!N102*1000</f>
        <v>2960925.8760493631</v>
      </c>
      <c r="C16" s="207">
        <f>0</f>
        <v>0</v>
      </c>
      <c r="D16" s="206">
        <v>0</v>
      </c>
      <c r="E16" s="207">
        <f>'Tab 3 - Catchment'!N39</f>
        <v>-2960925.8760493631</v>
      </c>
      <c r="F16" s="208">
        <f>'Tab 3 - Catchment'!M31</f>
        <v>0</v>
      </c>
      <c r="G16" s="210">
        <f>'Tab 3 - Catchment'!K24</f>
        <v>0</v>
      </c>
    </row>
    <row r="17" spans="1:7" x14ac:dyDescent="0.3">
      <c r="A17" s="195" t="s">
        <v>69</v>
      </c>
      <c r="B17" s="206">
        <f>'Tab 4 - Balance'!N60*1000</f>
        <v>4128844.3846017271</v>
      </c>
      <c r="C17" s="207">
        <f>SUM('Tab 5 - Capital'!Q36:AC36)</f>
        <v>0</v>
      </c>
      <c r="D17" s="206">
        <f>SUM('Tab 10 - Pine'!AA139:BJ139)*1000</f>
        <v>21298451.059681527</v>
      </c>
      <c r="E17" s="207">
        <f>'Tab 3 - Catchment'!N40</f>
        <v>10884955.34355763</v>
      </c>
      <c r="F17" s="208">
        <f>'Tab 3 - Catchment'!M32</f>
        <v>14208941.088150691</v>
      </c>
      <c r="G17" s="210">
        <f>'Tab 3 - Catchment'!K25</f>
        <v>13490.788280099583</v>
      </c>
    </row>
    <row r="18" spans="1:7" x14ac:dyDescent="0.3">
      <c r="A18" s="195"/>
      <c r="B18" s="206"/>
      <c r="C18" s="207"/>
      <c r="D18" s="206"/>
      <c r="E18" s="207"/>
      <c r="F18" s="208"/>
      <c r="G18" s="210"/>
    </row>
    <row r="19" spans="1:7" x14ac:dyDescent="0.3">
      <c r="A19" s="211"/>
      <c r="B19" s="212"/>
      <c r="C19" s="211"/>
      <c r="D19" s="212"/>
      <c r="E19" s="211"/>
      <c r="F19" s="213"/>
      <c r="G19" s="211"/>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FEAD-E73D-428F-8887-DE3B2B03B843}">
  <sheetPr>
    <pageSetUpPr fitToPage="1"/>
  </sheetPr>
  <dimension ref="A1:AO38"/>
  <sheetViews>
    <sheetView showGridLines="0" topLeftCell="A6" zoomScale="70" zoomScaleNormal="70" workbookViewId="0">
      <selection activeCell="L14" sqref="L14:L19"/>
    </sheetView>
  </sheetViews>
  <sheetFormatPr defaultColWidth="9.21875" defaultRowHeight="13.2" outlineLevelCol="1" x14ac:dyDescent="0.25"/>
  <cols>
    <col min="1" max="1" width="20.77734375" style="1" customWidth="1"/>
    <col min="2" max="2" width="9.21875" style="1"/>
    <col min="3" max="3" width="14.77734375" style="1" customWidth="1"/>
    <col min="4" max="4" width="5.77734375" style="1" customWidth="1"/>
    <col min="5" max="5" width="17.21875" style="1" bestFit="1" customWidth="1"/>
    <col min="6" max="6" width="9.21875" style="1"/>
    <col min="7" max="8" width="1.5546875" style="1" customWidth="1"/>
    <col min="9" max="9" width="9.21875" style="1"/>
    <col min="10" max="10" width="15.77734375" style="1" customWidth="1"/>
    <col min="11" max="11" width="16" style="1" bestFit="1" customWidth="1"/>
    <col min="12" max="12" width="47.77734375" style="1" bestFit="1" customWidth="1"/>
    <col min="13" max="14" width="15.77734375" style="1" customWidth="1"/>
    <col min="15" max="23" width="14.77734375" style="1" customWidth="1"/>
    <col min="24" max="30" width="14.77734375" style="1" customWidth="1" outlineLevel="1"/>
    <col min="31" max="33" width="14.77734375" style="1" customWidth="1"/>
    <col min="34" max="39" width="14.77734375" style="1" customWidth="1" outlineLevel="1"/>
    <col min="40" max="40" width="11.21875" style="1" customWidth="1"/>
    <col min="41" max="16384" width="9.21875" style="1"/>
  </cols>
  <sheetData>
    <row r="1" spans="1:40" s="22" customFormat="1" ht="15.6" x14ac:dyDescent="0.3">
      <c r="A1" s="177" t="s">
        <v>70</v>
      </c>
    </row>
    <row r="2" spans="1:40" s="22" customFormat="1" x14ac:dyDescent="0.25">
      <c r="A2" s="72" t="s">
        <v>71</v>
      </c>
      <c r="B2" s="73"/>
    </row>
    <row r="3" spans="1:40" s="22" customFormat="1" x14ac:dyDescent="0.25">
      <c r="A3" s="22" t="s">
        <v>72</v>
      </c>
    </row>
    <row r="5" spans="1:40" s="22" customFormat="1" x14ac:dyDescent="0.25">
      <c r="P5" s="74"/>
      <c r="Q5" s="74"/>
      <c r="R5" s="74"/>
      <c r="S5" s="74"/>
      <c r="T5" s="74"/>
      <c r="U5" s="74"/>
    </row>
    <row r="6" spans="1:40" x14ac:dyDescent="0.25">
      <c r="P6" s="37"/>
      <c r="Q6" s="37"/>
      <c r="R6" s="37"/>
      <c r="S6" s="37"/>
      <c r="T6" s="37"/>
      <c r="U6" s="37"/>
    </row>
    <row r="7" spans="1:40" s="22" customFormat="1" x14ac:dyDescent="0.25">
      <c r="A7" s="22" t="s">
        <v>73</v>
      </c>
      <c r="B7" s="30">
        <v>3.5799999999999998E-2</v>
      </c>
      <c r="M7" s="60"/>
      <c r="P7" s="74"/>
      <c r="Q7" s="74"/>
      <c r="R7" s="74"/>
      <c r="S7" s="74"/>
      <c r="T7" s="74"/>
      <c r="U7" s="74"/>
    </row>
    <row r="8" spans="1:40" s="22" customFormat="1" x14ac:dyDescent="0.25">
      <c r="P8" s="178"/>
    </row>
    <row r="9" spans="1:40" s="22" customFormat="1" x14ac:dyDescent="0.25">
      <c r="A9" s="22" t="s">
        <v>74</v>
      </c>
      <c r="M9" s="171"/>
      <c r="P9" s="171"/>
    </row>
    <row r="10" spans="1:40" ht="39.6" x14ac:dyDescent="0.25">
      <c r="A10" s="22"/>
      <c r="B10" s="22"/>
      <c r="C10" s="22"/>
      <c r="D10" s="22"/>
      <c r="E10" s="22"/>
      <c r="F10" s="22"/>
      <c r="G10" s="22"/>
      <c r="L10" s="29"/>
      <c r="M10" s="3" t="s">
        <v>75</v>
      </c>
      <c r="N10" s="3" t="s">
        <v>76</v>
      </c>
      <c r="O10" s="7" t="s">
        <v>77</v>
      </c>
      <c r="P10" s="25">
        <v>2024</v>
      </c>
      <c r="Q10" s="3">
        <v>2025</v>
      </c>
      <c r="R10" s="25">
        <v>2026</v>
      </c>
      <c r="S10" s="3">
        <v>2027</v>
      </c>
      <c r="T10" s="25">
        <v>2028</v>
      </c>
      <c r="U10" s="3">
        <v>2029</v>
      </c>
      <c r="V10" s="25">
        <v>2030</v>
      </c>
      <c r="W10" s="3">
        <v>2031</v>
      </c>
      <c r="X10" s="25">
        <v>2032</v>
      </c>
      <c r="Y10" s="3">
        <v>2033</v>
      </c>
      <c r="Z10" s="25">
        <v>2034</v>
      </c>
      <c r="AA10" s="3">
        <v>2035</v>
      </c>
      <c r="AB10" s="25">
        <v>2036</v>
      </c>
      <c r="AC10" s="3">
        <v>2037</v>
      </c>
      <c r="AD10" s="25">
        <v>2038</v>
      </c>
      <c r="AE10" s="3">
        <v>2039</v>
      </c>
      <c r="AF10" s="25">
        <v>2040</v>
      </c>
      <c r="AG10" s="3">
        <v>2041</v>
      </c>
      <c r="AH10" s="25">
        <v>2042</v>
      </c>
      <c r="AI10" s="3">
        <v>2043</v>
      </c>
      <c r="AJ10" s="25">
        <v>2044</v>
      </c>
      <c r="AK10" s="3">
        <v>2045</v>
      </c>
      <c r="AL10" s="25">
        <v>2046</v>
      </c>
      <c r="AM10" s="3">
        <v>2047</v>
      </c>
      <c r="AN10" s="3">
        <v>2048</v>
      </c>
    </row>
    <row r="11" spans="1:40" x14ac:dyDescent="0.25">
      <c r="A11" s="22"/>
      <c r="B11" s="22"/>
      <c r="C11" s="22"/>
      <c r="D11" s="22"/>
      <c r="E11" s="22"/>
      <c r="F11" s="22"/>
      <c r="G11" s="22"/>
      <c r="K11" s="23" t="s">
        <v>78</v>
      </c>
      <c r="L11" s="4" t="s">
        <v>79</v>
      </c>
      <c r="M11" s="28">
        <f>SUM(P11:AM11)</f>
        <v>4612</v>
      </c>
      <c r="O11" s="34"/>
      <c r="P11" s="88">
        <v>309</v>
      </c>
      <c r="Q11" s="88">
        <v>327</v>
      </c>
      <c r="R11" s="88">
        <v>321</v>
      </c>
      <c r="S11" s="88">
        <v>321</v>
      </c>
      <c r="T11" s="88">
        <v>318.48089795918366</v>
      </c>
      <c r="U11" s="88">
        <v>315.96179591836733</v>
      </c>
      <c r="V11" s="88">
        <v>313.44269387755099</v>
      </c>
      <c r="W11" s="88">
        <v>310.92359183673466</v>
      </c>
      <c r="X11" s="88">
        <v>308.40448979591832</v>
      </c>
      <c r="Y11" s="88">
        <v>305.88538775510199</v>
      </c>
      <c r="Z11" s="88">
        <v>303.36628571428565</v>
      </c>
      <c r="AA11" s="88">
        <v>300.84718367346932</v>
      </c>
      <c r="AB11" s="88">
        <v>298.32808163265298</v>
      </c>
      <c r="AC11" s="88">
        <v>295.80897959183665</v>
      </c>
      <c r="AD11" s="88">
        <f>4612-SUM(P11:AC11)</f>
        <v>262.55061224489873</v>
      </c>
      <c r="AE11" s="88">
        <f>4612-SUM(P11:AD11)</f>
        <v>0</v>
      </c>
      <c r="AF11" s="88"/>
      <c r="AG11" s="88"/>
      <c r="AH11" s="88"/>
      <c r="AI11" s="88"/>
      <c r="AJ11" s="88"/>
      <c r="AK11" s="88"/>
      <c r="AL11" s="2">
        <v>0</v>
      </c>
      <c r="AM11" s="2">
        <v>0</v>
      </c>
      <c r="AN11" s="2">
        <v>0</v>
      </c>
    </row>
    <row r="12" spans="1:40" x14ac:dyDescent="0.25">
      <c r="A12" s="22"/>
      <c r="B12" s="22"/>
      <c r="C12" s="22"/>
      <c r="D12" s="22"/>
      <c r="E12" s="31"/>
      <c r="F12" s="30"/>
      <c r="G12" s="22"/>
      <c r="H12" s="22"/>
      <c r="I12" s="22" t="s">
        <v>80</v>
      </c>
      <c r="J12" s="22"/>
      <c r="K12" s="234">
        <v>20869.421716969464</v>
      </c>
      <c r="L12" s="4" t="s">
        <v>81</v>
      </c>
      <c r="M12" s="42"/>
      <c r="N12" s="42"/>
      <c r="O12" s="43"/>
      <c r="P12" s="42">
        <f>K12</f>
        <v>20869.421716969464</v>
      </c>
      <c r="Q12" s="42">
        <f>P12*(1+$B$7)</f>
        <v>21616.547014436972</v>
      </c>
      <c r="R12" s="42">
        <f t="shared" ref="R12:AN12" si="0">Q12*(1+$B$7)</f>
        <v>22390.419397553818</v>
      </c>
      <c r="S12" s="42">
        <f t="shared" si="0"/>
        <v>23191.996411986245</v>
      </c>
      <c r="T12" s="42">
        <f t="shared" si="0"/>
        <v>24022.269883535355</v>
      </c>
      <c r="U12" s="42">
        <f t="shared" si="0"/>
        <v>24882.26714536592</v>
      </c>
      <c r="V12" s="42">
        <f t="shared" si="0"/>
        <v>25773.052309170023</v>
      </c>
      <c r="W12" s="42">
        <f t="shared" si="0"/>
        <v>26695.727581838313</v>
      </c>
      <c r="X12" s="42">
        <f t="shared" si="0"/>
        <v>27651.434629268126</v>
      </c>
      <c r="Y12" s="42">
        <f t="shared" si="0"/>
        <v>28641.355988995925</v>
      </c>
      <c r="Z12" s="42">
        <f t="shared" si="0"/>
        <v>29666.716533401981</v>
      </c>
      <c r="AA12" s="42">
        <f t="shared" si="0"/>
        <v>30728.784985297774</v>
      </c>
      <c r="AB12" s="42">
        <f t="shared" si="0"/>
        <v>31828.875487771435</v>
      </c>
      <c r="AC12" s="42">
        <f t="shared" si="0"/>
        <v>32968.349230233653</v>
      </c>
      <c r="AD12" s="42">
        <f t="shared" si="0"/>
        <v>34148.616132676019</v>
      </c>
      <c r="AE12" s="42">
        <f t="shared" si="0"/>
        <v>35371.136590225826</v>
      </c>
      <c r="AF12" s="42">
        <f t="shared" si="0"/>
        <v>36637.423280155912</v>
      </c>
      <c r="AG12" s="42">
        <f t="shared" si="0"/>
        <v>37949.043033585498</v>
      </c>
      <c r="AH12" s="42">
        <f t="shared" si="0"/>
        <v>39307.61877418786</v>
      </c>
      <c r="AI12" s="42">
        <f t="shared" si="0"/>
        <v>40714.831526303788</v>
      </c>
      <c r="AJ12" s="42">
        <f t="shared" si="0"/>
        <v>42172.422494945466</v>
      </c>
      <c r="AK12" s="42">
        <f t="shared" si="0"/>
        <v>43682.195220264519</v>
      </c>
      <c r="AL12" s="42">
        <f t="shared" si="0"/>
        <v>45246.017809149991</v>
      </c>
      <c r="AM12" s="42">
        <f t="shared" si="0"/>
        <v>46865.825246717563</v>
      </c>
      <c r="AN12" s="42">
        <f t="shared" si="0"/>
        <v>48543.621790550053</v>
      </c>
    </row>
    <row r="13" spans="1:40" x14ac:dyDescent="0.25">
      <c r="A13" s="22"/>
      <c r="B13" s="22"/>
      <c r="C13" s="22"/>
      <c r="D13" s="22"/>
      <c r="E13" s="31"/>
      <c r="F13" s="30"/>
      <c r="G13" s="22"/>
      <c r="H13" s="22"/>
      <c r="I13" s="22"/>
      <c r="J13" s="22"/>
      <c r="K13" s="52"/>
      <c r="L13" s="4"/>
      <c r="M13" s="42"/>
      <c r="N13" s="42"/>
      <c r="O13" s="43"/>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ht="13.8" thickBot="1" x14ac:dyDescent="0.3">
      <c r="A14" s="22"/>
      <c r="B14" s="22"/>
      <c r="C14" s="22"/>
      <c r="D14" s="22"/>
      <c r="E14" s="31"/>
      <c r="F14" s="22"/>
      <c r="G14" s="22"/>
      <c r="H14" s="22"/>
      <c r="I14" s="22"/>
      <c r="J14" s="8" t="s">
        <v>82</v>
      </c>
      <c r="K14" s="27">
        <f>SUM(K12:K13)</f>
        <v>20869.421716969464</v>
      </c>
      <c r="L14" s="4" t="s">
        <v>83</v>
      </c>
      <c r="M14" s="42">
        <f>SUM(P14:AN14)</f>
        <v>134858933.32425299</v>
      </c>
      <c r="N14" s="42">
        <f>NPV($B$7,Q14:AN14)+P14</f>
        <v>102419824.00000004</v>
      </c>
      <c r="O14" s="43"/>
      <c r="P14" s="42">
        <f>('Tab 4 - Balance'!L90+'Tab 4 - Balance'!L73+'Tab 4 - Balance'!L56+'Tab 4 - Balance'!L39+'Tab 4 - Balance'!L22)*-1000</f>
        <v>8248031.4714202415</v>
      </c>
      <c r="Q14" s="42">
        <f>('Tab 4 - Balance'!M22+'Tab 4 - Balance'!M39+'Tab 4 - Balance'!M56+'Tab 4 - Balance'!M73+'Tab 4 - Balance'!M90)*-1000+'Tab 2 - Citywide'!P11*'Tab 2 - Citywide'!P12*'Tab 11 - General'!B23</f>
        <v>6305899.4739634134</v>
      </c>
      <c r="R14" s="42">
        <f>P11*P12*'Tab 11 - General'!$C$23+Q11*Q12*'Tab 11 - General'!$B$23</f>
        <v>6783429.47465932</v>
      </c>
      <c r="S14" s="42">
        <f>Q11*Q12*'Tab 11 - General'!$C$23+R11*R12*'Tab 11 - General'!$B$23</f>
        <v>7132716.3002835885</v>
      </c>
      <c r="T14" s="42">
        <f>R11*R12*'Tab 11 - General'!$C$23+S11*S12*'Tab 11 - General'!$B$23</f>
        <v>7326269.9862964936</v>
      </c>
      <c r="U14" s="42">
        <f>S11*S12*'Tab 11 - General'!$C$23+T11*T12*'Tab 11 - General'!$B$23</f>
        <v>7555872.5952980341</v>
      </c>
      <c r="V14" s="42">
        <f>T11*T12*'Tab 11 - General'!$C$23+U11*U12*'Tab 11 - General'!$B$23</f>
        <v>7764688.4178580679</v>
      </c>
      <c r="W14" s="42">
        <f>U11*U12*'Tab 11 - General'!$C$23+V11*V12*'Tab 11 - General'!$B$23</f>
        <v>7978771.5447603613</v>
      </c>
      <c r="X14" s="42">
        <f>V11*V12*'Tab 11 - General'!$C$23+W11*W12*'Tab 11 - General'!$B$23</f>
        <v>8198231.4882849967</v>
      </c>
      <c r="Y14" s="42">
        <f>W11*W12*'Tab 11 - General'!$C$23+X11*X12*'Tab 11 - General'!$B$23</f>
        <v>8423178.8510033693</v>
      </c>
      <c r="Z14" s="42">
        <f>X11*X12*'Tab 11 - General'!$C$23+Y11*Y12*'Tab 11 - General'!$B$23</f>
        <v>8653725.2634877302</v>
      </c>
      <c r="AA14" s="42">
        <f>Y11*Y12*'Tab 11 - General'!$C$23+Z11*Z12*'Tab 11 - General'!$B$23</f>
        <v>8889983.3161633722</v>
      </c>
      <c r="AB14" s="42">
        <f>Z11*Z12*'Tab 11 - General'!$C$23+AA11*AA12*'Tab 11 - General'!$B$23</f>
        <v>9132066.4849638939</v>
      </c>
      <c r="AC14" s="42">
        <f>AA11*AA12*'Tab 11 - General'!$C$23+AB11*AB12*'Tab 11 - General'!$B$23</f>
        <v>9380089.0504332073</v>
      </c>
      <c r="AD14" s="42">
        <f>AB11*AB12*'Tab 11 - General'!$C$23+AC11*AC12*'Tab 11 - General'!$B$23</f>
        <v>9634166.0099003315</v>
      </c>
      <c r="AE14" s="42">
        <f>AC11*AC12*'Tab 11 - General'!$C$23+AD11*AD12*'Tab 11 - General'!$B$23</f>
        <v>9327573.1619195193</v>
      </c>
      <c r="AF14" s="42">
        <f>AD11*AD12*'Tab 11 - General'!$C$23+AE11*AE12*'Tab 11 - General'!$B$23</f>
        <v>4124240.4335570531</v>
      </c>
      <c r="AG14" s="42">
        <f>AE11*AE12*'Tab 11 - General'!$C$23+AF11*AF12*'Tab 11 - General'!$B$23</f>
        <v>0</v>
      </c>
      <c r="AH14" s="42">
        <f>AF11*AF12*'Tab 11 - General'!$C$23+AG11*AG12*'Tab 11 - General'!$B$23</f>
        <v>0</v>
      </c>
      <c r="AI14" s="42">
        <f>AG11*AG12*'Tab 11 - General'!$C$23+AH11*AH12*'Tab 11 - General'!$B$23</f>
        <v>0</v>
      </c>
      <c r="AJ14" s="42">
        <f>AH11*AH12*'Tab 11 - General'!$C$23+AI11*AI12*'Tab 11 - General'!$B$23</f>
        <v>0</v>
      </c>
      <c r="AK14" s="42">
        <f>AI11*AI12*'Tab 11 - General'!$C$23+AJ11*AJ12*'Tab 11 - General'!$B$23</f>
        <v>0</v>
      </c>
      <c r="AL14" s="42">
        <f>AJ11*AJ12*'Tab 11 - General'!$C$23+AK11*AK12*'Tab 11 - General'!$B$23</f>
        <v>0</v>
      </c>
      <c r="AM14" s="42">
        <f>AK11*AK12*'Tab 11 - General'!$C$23+AL11*AL12*'Tab 11 - General'!$B$23</f>
        <v>0</v>
      </c>
      <c r="AN14" s="42">
        <f>AL11*AL12*'Tab 11 - General'!$C$23+AM11*AM12*'Tab 11 - General'!$B$23</f>
        <v>0</v>
      </c>
    </row>
    <row r="15" spans="1:40" x14ac:dyDescent="0.25">
      <c r="A15" s="22"/>
      <c r="B15" s="22"/>
      <c r="C15" s="22"/>
      <c r="D15" s="22"/>
      <c r="E15" s="31"/>
      <c r="F15" s="22"/>
      <c r="G15" s="22"/>
      <c r="L15" s="4"/>
      <c r="M15" s="45"/>
      <c r="N15" s="46"/>
      <c r="O15" s="47"/>
      <c r="P15" s="42"/>
      <c r="Q15" s="42"/>
      <c r="R15" s="42"/>
      <c r="S15" s="42"/>
      <c r="T15" s="49"/>
      <c r="U15" s="42"/>
      <c r="V15" s="42"/>
      <c r="W15" s="40"/>
      <c r="X15" s="40"/>
      <c r="Y15" s="40"/>
      <c r="Z15" s="40"/>
      <c r="AA15" s="40"/>
      <c r="AB15" s="40"/>
      <c r="AC15" s="40"/>
      <c r="AD15" s="40"/>
      <c r="AE15" s="40"/>
      <c r="AF15" s="40"/>
      <c r="AG15" s="40"/>
      <c r="AH15" s="40"/>
      <c r="AI15" s="40"/>
      <c r="AJ15" s="40"/>
      <c r="AK15" s="40"/>
      <c r="AL15" s="40"/>
      <c r="AM15" s="40"/>
      <c r="AN15" s="40"/>
    </row>
    <row r="16" spans="1:40" x14ac:dyDescent="0.25">
      <c r="A16" s="22"/>
      <c r="B16" s="22"/>
      <c r="C16" s="22"/>
      <c r="D16" s="22"/>
      <c r="E16" s="31"/>
      <c r="F16" s="22"/>
      <c r="G16" s="22"/>
      <c r="L16" s="4"/>
      <c r="M16" s="42">
        <f>SUM(M14:M15)</f>
        <v>134858933.32425299</v>
      </c>
      <c r="N16" s="42">
        <f>SUM(N14:N15)</f>
        <v>102419824.00000004</v>
      </c>
      <c r="O16" s="43"/>
      <c r="P16" s="42"/>
      <c r="Q16" s="42"/>
      <c r="R16" s="42"/>
      <c r="S16" s="42"/>
      <c r="T16" s="49"/>
      <c r="U16" s="42"/>
      <c r="V16" s="42"/>
      <c r="W16" s="42"/>
      <c r="X16" s="42"/>
      <c r="Y16" s="42"/>
      <c r="Z16" s="42"/>
      <c r="AA16" s="42"/>
      <c r="AB16" s="42"/>
      <c r="AC16" s="42"/>
      <c r="AD16" s="42"/>
      <c r="AE16" s="42"/>
      <c r="AF16" s="42"/>
      <c r="AG16" s="42"/>
      <c r="AH16" s="42"/>
      <c r="AI16" s="42"/>
      <c r="AJ16" s="42"/>
      <c r="AK16" s="42"/>
      <c r="AL16" s="42"/>
      <c r="AM16" s="42"/>
      <c r="AN16" s="42"/>
    </row>
    <row r="17" spans="1:41" x14ac:dyDescent="0.25">
      <c r="A17" s="22"/>
      <c r="B17" s="22"/>
      <c r="C17" s="22"/>
      <c r="D17" s="22"/>
      <c r="E17" s="31"/>
      <c r="F17" s="22"/>
      <c r="G17" s="22"/>
      <c r="L17" s="4"/>
      <c r="M17" s="42"/>
      <c r="N17" s="42"/>
      <c r="O17" s="43"/>
      <c r="P17" s="42"/>
      <c r="Q17" s="42"/>
      <c r="R17" s="42"/>
      <c r="S17" s="42"/>
      <c r="T17" s="49"/>
      <c r="U17" s="42"/>
      <c r="V17" s="42"/>
      <c r="W17" s="42"/>
      <c r="X17" s="42"/>
      <c r="Y17" s="42"/>
      <c r="Z17" s="42"/>
      <c r="AA17" s="42"/>
      <c r="AB17" s="42"/>
      <c r="AC17" s="42"/>
      <c r="AD17" s="42"/>
      <c r="AE17" s="42"/>
      <c r="AF17" s="42"/>
      <c r="AG17" s="42"/>
      <c r="AH17" s="42"/>
      <c r="AI17" s="42"/>
      <c r="AJ17" s="42"/>
      <c r="AK17" s="42"/>
      <c r="AL17" s="42"/>
      <c r="AM17" s="42"/>
      <c r="AN17" s="42"/>
    </row>
    <row r="18" spans="1:41" x14ac:dyDescent="0.25">
      <c r="A18" s="22"/>
      <c r="B18" s="22"/>
      <c r="C18" s="22"/>
      <c r="D18" s="22"/>
      <c r="E18" s="31"/>
      <c r="F18" s="22"/>
      <c r="G18" s="22"/>
      <c r="I18" s="22"/>
      <c r="J18" s="30"/>
      <c r="K18" s="63"/>
      <c r="L18" s="4" t="s">
        <v>84</v>
      </c>
      <c r="M18" s="42">
        <f>SUM(O18:AN18)</f>
        <v>151941055.82971805</v>
      </c>
      <c r="N18" s="42">
        <f>O18+(NPV($B$7,Q18:AN18)+P18)</f>
        <v>102419823.92784469</v>
      </c>
      <c r="O18" s="43">
        <f>('Tab 4 - Balance'!N102+'Tab 4 - Balance'!N94+'Tab 4 - Balance'!N77+'Tab 4 - Balance'!N60+'Tab 4 - Balance'!N43+'Tab 4 - Balance'!N26)*-1000</f>
        <v>-32541351.311922774</v>
      </c>
      <c r="P18" s="40">
        <f>('Tab 8 - Shepard'!AA139+'Tab 10 - Pine'!AA139+'Tab 6 - Bow'!AA139+'Tab 7 - Nose'!AA139+'Tab 9 - Fish'!AA139)*1000</f>
        <v>9027434.8263309486</v>
      </c>
      <c r="Q18" s="40">
        <f>('Tab 8 - Shepard'!AB139+'Tab 10 - Pine'!AB139+'Tab 6 - Bow'!AB139+'Tab 7 - Nose'!AB139+'Tab 9 - Fish'!AB139)*1000</f>
        <v>10113977.465396659</v>
      </c>
      <c r="R18" s="40">
        <f>('Tab 8 - Shepard'!AC139+'Tab 10 - Pine'!AC139+'Tab 6 - Bow'!AC139+'Tab 7 - Nose'!AC139+'Tab 9 - Fish'!AC139)*1000</f>
        <v>10797552.657138374</v>
      </c>
      <c r="S18" s="40">
        <f>('Tab 8 - Shepard'!AD139+'Tab 10 - Pine'!AD139+'Tab 6 - Bow'!AD139+'Tab 7 - Nose'!AD139+'Tab 9 - Fish'!AD139)*1000</f>
        <v>9515959.316937834</v>
      </c>
      <c r="T18" s="40">
        <f>('Tab 8 - Shepard'!AE139+'Tab 10 - Pine'!AE139+'Tab 6 - Bow'!AE139+'Tab 7 - Nose'!AE139+'Tab 9 - Fish'!AE139)*1000</f>
        <v>9515170.0041067731</v>
      </c>
      <c r="U18" s="40">
        <f>('Tab 8 - Shepard'!AF139+'Tab 10 - Pine'!AF139+'Tab 6 - Bow'!AF139+'Tab 7 - Nose'!AF139+'Tab 9 - Fish'!AF139)*1000</f>
        <v>9514347.3108741138</v>
      </c>
      <c r="V18" s="40">
        <f>('Tab 8 - Shepard'!AG139+'Tab 10 - Pine'!AG139+'Tab 6 - Bow'!AG139+'Tab 7 - Nose'!AG139+'Tab 9 - Fish'!AG139)*1000</f>
        <v>9513489.8721103389</v>
      </c>
      <c r="W18" s="40">
        <f>('Tab 8 - Shepard'!AH139+'Tab 10 - Pine'!AH139+'Tab 6 - Bow'!AH139+'Tab 7 - Nose'!AH139+'Tab 9 - Fish'!AH139)*1000</f>
        <v>9512596.0363451</v>
      </c>
      <c r="X18" s="40">
        <f>('Tab 8 - Shepard'!AI139+'Tab 10 - Pine'!AI139+'Tab 6 - Bow'!AI139+'Tab 7 - Nose'!AI139+'Tab 9 - Fish'!AI139)*1000</f>
        <v>9511664.3403089475</v>
      </c>
      <c r="Y18" s="40">
        <f>('Tab 8 - Shepard'!AJ139+'Tab 10 - Pine'!AJ139+'Tab 6 - Bow'!AJ139+'Tab 7 - Nose'!AJ139+'Tab 9 - Fish'!AJ139)*1000</f>
        <v>9510692.927673582</v>
      </c>
      <c r="Z18" s="40">
        <f>('Tab 8 - Shepard'!AK139+'Tab 10 - Pine'!AK139+'Tab 6 - Bow'!AK139+'Tab 7 - Nose'!AK139+'Tab 9 - Fish'!AK139)*1000</f>
        <v>9509680.0941558219</v>
      </c>
      <c r="AA18" s="40">
        <f>('Tab 8 - Shepard'!AL139+'Tab 10 - Pine'!AL139+'Tab 6 - Bow'!AL139+'Tab 7 - Nose'!AL139+'Tab 9 - Fish'!AL139)*1000</f>
        <v>9373113.4553260673</v>
      </c>
      <c r="AB18" s="40">
        <f>('Tab 8 - Shepard'!AM139+'Tab 10 - Pine'!AM139+'Tab 6 - Bow'!AM139+'Tab 7 - Nose'!AM139+'Tab 9 - Fish'!AM139)*1000</f>
        <v>9334605.4562439676</v>
      </c>
      <c r="AC18" s="40">
        <f>('Tab 8 - Shepard'!AN139+'Tab 10 - Pine'!AN139+'Tab 6 - Bow'!AN139+'Tab 7 - Nose'!AN139+'Tab 9 - Fish'!AN139)*1000</f>
        <v>8869600.2462111879</v>
      </c>
      <c r="AD18" s="40">
        <f>('Tab 8 - Shepard'!AO139+'Tab 10 - Pine'!AO139+'Tab 6 - Bow'!AO139+'Tab 7 - Nose'!AO139+'Tab 9 - Fish'!AO139)*1000</f>
        <v>7794941.176863689</v>
      </c>
      <c r="AE18" s="40">
        <f>('Tab 8 - Shepard'!AP139+'Tab 10 - Pine'!AP139+'Tab 6 - Bow'!AP139+'Tab 7 - Nose'!AP139+'Tab 9 - Fish'!AP139)*1000</f>
        <v>6994242.9352665897</v>
      </c>
      <c r="AF18" s="40">
        <f>('Tab 8 - Shepard'!AQ139+'Tab 10 - Pine'!AQ139+'Tab 6 - Bow'!AQ139+'Tab 7 - Nose'!AQ139+'Tab 9 - Fish'!AQ139)*1000</f>
        <v>5906198.4679899393</v>
      </c>
      <c r="AG18" s="40">
        <f>('Tab 8 - Shepard'!AR139+'Tab 10 - Pine'!AR139+'Tab 6 - Bow'!AR139+'Tab 7 - Nose'!AR139+'Tab 9 - Fish'!AR139)*1000</f>
        <v>4997474.9288397068</v>
      </c>
      <c r="AH18" s="40">
        <f>('Tab 8 - Shepard'!AS139+'Tab 10 - Pine'!AS139+'Tab 6 - Bow'!AS139+'Tab 7 - Nose'!AS139+'Tab 9 - Fish'!AS139)*1000</f>
        <v>4402353.7982340278</v>
      </c>
      <c r="AI18" s="40">
        <f>('Tab 8 - Shepard'!AT139+'Tab 10 - Pine'!AT139+'Tab 6 - Bow'!AT139+'Tab 7 - Nose'!AT139+'Tab 9 - Fish'!AT139)*1000</f>
        <v>4243783.1682340279</v>
      </c>
      <c r="AJ18" s="40">
        <f>('Tab 8 - Shepard'!AU139+'Tab 10 - Pine'!AU139+'Tab 6 - Bow'!AU139+'Tab 7 - Nose'!AU139+'Tab 9 - Fish'!AU139)*1000</f>
        <v>4122997.3182340274</v>
      </c>
      <c r="AK18" s="40">
        <f>('Tab 8 - Shepard'!AV139+'Tab 10 - Pine'!AV139+'Tab 6 - Bow'!AV139+'Tab 7 - Nose'!AV139+'Tab 9 - Fish'!AV139)*1000</f>
        <v>4096553.9082340272</v>
      </c>
      <c r="AL18" s="40">
        <f>('Tab 8 - Shepard'!AW139+'Tab 10 - Pine'!AW139+'Tab 6 - Bow'!AW139+'Tab 7 - Nose'!AW139+'Tab 9 - Fish'!AW139)*1000</f>
        <v>3917246.3382340274</v>
      </c>
      <c r="AM18" s="40">
        <f>('Tab 8 - Shepard'!AX139+'Tab 10 - Pine'!AX139+'Tab 6 - Bow'!AX139+'Tab 7 - Nose'!AX139+'Tab 9 - Fish'!AX139)*1000</f>
        <v>3322785.5682340274</v>
      </c>
      <c r="AN18" s="40">
        <f>('Tab 8 - Shepard'!AY139+'Tab 10 - Pine'!AY139+'Tab 6 - Bow'!AY139+'Tab 7 - Nose'!AY139+'Tab 9 - Fish'!AY139)*1000</f>
        <v>1063945.5241170137</v>
      </c>
      <c r="AO18" s="40"/>
    </row>
    <row r="19" spans="1:41" x14ac:dyDescent="0.25">
      <c r="A19" s="22"/>
      <c r="B19" s="22"/>
      <c r="C19" s="22"/>
      <c r="D19" s="22"/>
      <c r="E19" s="31"/>
      <c r="F19" s="22"/>
      <c r="G19" s="22"/>
      <c r="I19" s="22"/>
      <c r="J19" s="22"/>
      <c r="K19" s="64"/>
      <c r="L19" s="4"/>
      <c r="M19" s="45"/>
      <c r="N19" s="46"/>
      <c r="O19" s="47"/>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row>
    <row r="20" spans="1:41" x14ac:dyDescent="0.25">
      <c r="A20" s="22"/>
      <c r="B20" s="22"/>
      <c r="C20" s="22"/>
      <c r="D20" s="22"/>
      <c r="E20" s="31"/>
      <c r="F20" s="22"/>
      <c r="G20" s="22"/>
      <c r="I20" s="22"/>
      <c r="J20" s="22"/>
      <c r="K20" s="65"/>
      <c r="L20" s="4" t="s">
        <v>85</v>
      </c>
      <c r="M20" s="42">
        <f>SUM(M18:M19)</f>
        <v>151941055.82971805</v>
      </c>
      <c r="N20" s="42">
        <f>SUM(N18:N19)</f>
        <v>102419823.92784469</v>
      </c>
      <c r="O20" s="43">
        <f>SUM(O18:O19)</f>
        <v>-32541351.311922774</v>
      </c>
      <c r="P20" s="40"/>
      <c r="Q20" s="40"/>
      <c r="R20" s="40"/>
      <c r="S20" s="40"/>
      <c r="T20" s="77"/>
      <c r="U20" s="40"/>
      <c r="V20" s="40"/>
      <c r="W20" s="40"/>
      <c r="X20" s="40"/>
      <c r="Y20" s="40"/>
      <c r="Z20" s="40"/>
      <c r="AA20" s="40"/>
      <c r="AB20" s="40"/>
      <c r="AC20" s="40"/>
      <c r="AD20" s="40"/>
      <c r="AE20" s="40"/>
      <c r="AF20" s="40"/>
      <c r="AG20" s="40"/>
      <c r="AH20" s="40"/>
      <c r="AI20" s="40"/>
      <c r="AJ20" s="40"/>
      <c r="AK20" s="40"/>
      <c r="AL20" s="40"/>
      <c r="AM20" s="40"/>
      <c r="AN20" s="40"/>
    </row>
    <row r="21" spans="1:41" x14ac:dyDescent="0.25">
      <c r="A21" s="22"/>
      <c r="B21" s="22"/>
      <c r="C21" s="22"/>
      <c r="D21" s="22"/>
      <c r="E21" s="31"/>
      <c r="F21" s="22"/>
      <c r="G21" s="22"/>
      <c r="I21" s="22"/>
      <c r="J21" s="22"/>
      <c r="K21" s="66"/>
      <c r="L21" s="4"/>
      <c r="M21" s="42"/>
      <c r="N21" s="42"/>
      <c r="O21" s="43"/>
      <c r="P21" s="40"/>
      <c r="Q21" s="40"/>
      <c r="R21" s="40"/>
      <c r="S21" s="40"/>
      <c r="T21" s="77"/>
      <c r="U21" s="40"/>
      <c r="V21" s="40"/>
      <c r="W21" s="40"/>
      <c r="X21" s="40"/>
      <c r="Y21" s="40"/>
      <c r="Z21" s="40"/>
      <c r="AA21" s="40"/>
      <c r="AB21" s="40"/>
      <c r="AC21" s="40"/>
      <c r="AD21" s="40"/>
      <c r="AE21" s="40"/>
      <c r="AF21" s="40"/>
      <c r="AG21" s="40"/>
      <c r="AH21" s="40"/>
      <c r="AI21" s="40"/>
      <c r="AJ21" s="40"/>
      <c r="AK21" s="40"/>
      <c r="AL21" s="40"/>
      <c r="AM21" s="40"/>
      <c r="AN21" s="40"/>
    </row>
    <row r="22" spans="1:41" x14ac:dyDescent="0.25">
      <c r="I22" s="22"/>
      <c r="J22" s="22"/>
      <c r="K22" s="22"/>
      <c r="L22" s="4" t="s">
        <v>86</v>
      </c>
      <c r="M22" s="109">
        <f>SUM(O22:AN22)</f>
        <v>-17082122.505465057</v>
      </c>
      <c r="N22" s="42">
        <f>SUM(N15,N14)-SUM(N18,N19)</f>
        <v>7.2155356407165527E-2</v>
      </c>
      <c r="O22" s="43">
        <f>SUM(O15,O14)-SUM(O18,O19)</f>
        <v>32541351.311922774</v>
      </c>
      <c r="P22" s="38">
        <f t="shared" ref="P22:AM22" si="1">P14-P18</f>
        <v>-779403.3549107071</v>
      </c>
      <c r="Q22" s="38">
        <f t="shared" si="1"/>
        <v>-3808077.9914332461</v>
      </c>
      <c r="R22" s="38">
        <f t="shared" si="1"/>
        <v>-4014123.1824790537</v>
      </c>
      <c r="S22" s="38">
        <f t="shared" si="1"/>
        <v>-2383243.0166542456</v>
      </c>
      <c r="T22" s="38">
        <f t="shared" si="1"/>
        <v>-2188900.0178102795</v>
      </c>
      <c r="U22" s="38">
        <f t="shared" si="1"/>
        <v>-1958474.7155760797</v>
      </c>
      <c r="V22" s="38">
        <f t="shared" si="1"/>
        <v>-1748801.454252271</v>
      </c>
      <c r="W22" s="38">
        <f t="shared" si="1"/>
        <v>-1533824.4915847387</v>
      </c>
      <c r="X22" s="38">
        <f t="shared" si="1"/>
        <v>-1313432.8520239508</v>
      </c>
      <c r="Y22" s="38">
        <f t="shared" si="1"/>
        <v>-1087514.0766702127</v>
      </c>
      <c r="Z22" s="38">
        <f t="shared" si="1"/>
        <v>-855954.83066809177</v>
      </c>
      <c r="AA22" s="38">
        <f t="shared" si="1"/>
        <v>-483130.13916269504</v>
      </c>
      <c r="AB22" s="38">
        <f t="shared" si="1"/>
        <v>-202538.97128007375</v>
      </c>
      <c r="AC22" s="38">
        <f t="shared" si="1"/>
        <v>510488.80422201939</v>
      </c>
      <c r="AD22" s="38">
        <f t="shared" si="1"/>
        <v>1839224.8330366425</v>
      </c>
      <c r="AE22" s="38">
        <f t="shared" si="1"/>
        <v>2333330.2266529296</v>
      </c>
      <c r="AF22" s="38">
        <f t="shared" si="1"/>
        <v>-1781958.0344328862</v>
      </c>
      <c r="AG22" s="38">
        <f t="shared" si="1"/>
        <v>-4997474.9288397068</v>
      </c>
      <c r="AH22" s="38">
        <f t="shared" si="1"/>
        <v>-4402353.7982340278</v>
      </c>
      <c r="AI22" s="38">
        <f t="shared" si="1"/>
        <v>-4243783.1682340279</v>
      </c>
      <c r="AJ22" s="38">
        <f t="shared" si="1"/>
        <v>-4122997.3182340274</v>
      </c>
      <c r="AK22" s="38">
        <f t="shared" si="1"/>
        <v>-4096553.9082340272</v>
      </c>
      <c r="AL22" s="38">
        <f t="shared" si="1"/>
        <v>-3917246.3382340274</v>
      </c>
      <c r="AM22" s="38">
        <f t="shared" si="1"/>
        <v>-3322785.5682340274</v>
      </c>
      <c r="AN22" s="38">
        <f t="shared" ref="AN22" si="2">AN14-AN18</f>
        <v>-1063945.5241170137</v>
      </c>
    </row>
    <row r="23" spans="1:41" x14ac:dyDescent="0.25">
      <c r="L23" s="4" t="s">
        <v>87</v>
      </c>
      <c r="M23" s="38"/>
      <c r="N23" s="42"/>
      <c r="O23" s="43"/>
      <c r="P23" s="40">
        <f>M11-P11</f>
        <v>4303</v>
      </c>
      <c r="Q23" s="40">
        <f>P23-Q11</f>
        <v>3976</v>
      </c>
      <c r="R23" s="40">
        <f t="shared" ref="R23:AN23" si="3">Q23-R11</f>
        <v>3655</v>
      </c>
      <c r="S23" s="40">
        <f t="shared" si="3"/>
        <v>3334</v>
      </c>
      <c r="T23" s="77">
        <f t="shared" si="3"/>
        <v>3015.5191020408165</v>
      </c>
      <c r="U23" s="40">
        <f t="shared" si="3"/>
        <v>2699.5573061224491</v>
      </c>
      <c r="V23" s="40">
        <f t="shared" si="3"/>
        <v>2386.1146122448981</v>
      </c>
      <c r="W23" s="40">
        <f t="shared" si="3"/>
        <v>2075.1910204081632</v>
      </c>
      <c r="X23" s="40">
        <f t="shared" si="3"/>
        <v>1766.7865306122449</v>
      </c>
      <c r="Y23" s="40">
        <f t="shared" si="3"/>
        <v>1460.901142857143</v>
      </c>
      <c r="Z23" s="40">
        <f t="shared" si="3"/>
        <v>1157.5348571428574</v>
      </c>
      <c r="AA23" s="40">
        <f t="shared" si="3"/>
        <v>856.68767346938807</v>
      </c>
      <c r="AB23" s="40">
        <f t="shared" si="3"/>
        <v>558.35959183673504</v>
      </c>
      <c r="AC23" s="40">
        <f t="shared" si="3"/>
        <v>262.55061224489839</v>
      </c>
      <c r="AD23" s="40">
        <f t="shared" si="3"/>
        <v>0</v>
      </c>
      <c r="AE23" s="40">
        <f t="shared" si="3"/>
        <v>0</v>
      </c>
      <c r="AF23" s="40">
        <f t="shared" si="3"/>
        <v>0</v>
      </c>
      <c r="AG23" s="40">
        <f t="shared" si="3"/>
        <v>0</v>
      </c>
      <c r="AH23" s="40">
        <f t="shared" si="3"/>
        <v>0</v>
      </c>
      <c r="AI23" s="40">
        <f t="shared" si="3"/>
        <v>0</v>
      </c>
      <c r="AJ23" s="40">
        <f t="shared" si="3"/>
        <v>0</v>
      </c>
      <c r="AK23" s="40">
        <f t="shared" si="3"/>
        <v>0</v>
      </c>
      <c r="AL23" s="40">
        <f t="shared" si="3"/>
        <v>0</v>
      </c>
      <c r="AM23" s="40">
        <f t="shared" si="3"/>
        <v>0</v>
      </c>
      <c r="AN23" s="40">
        <f t="shared" si="3"/>
        <v>0</v>
      </c>
    </row>
    <row r="24" spans="1:41" x14ac:dyDescent="0.25">
      <c r="C24" s="42"/>
      <c r="E24" s="32"/>
      <c r="L24" s="33"/>
      <c r="M24" s="45"/>
      <c r="N24" s="45"/>
      <c r="O24" s="47"/>
      <c r="P24" s="45"/>
      <c r="Q24" s="45"/>
      <c r="R24" s="45"/>
      <c r="S24" s="45"/>
      <c r="T24" s="79"/>
      <c r="U24" s="45"/>
      <c r="V24" s="45"/>
      <c r="W24" s="45"/>
      <c r="X24" s="45"/>
      <c r="Y24" s="45"/>
      <c r="Z24" s="45"/>
      <c r="AA24" s="45"/>
      <c r="AB24" s="45"/>
      <c r="AC24" s="45"/>
      <c r="AD24" s="45"/>
      <c r="AE24" s="45"/>
      <c r="AF24" s="45"/>
      <c r="AG24" s="45"/>
      <c r="AH24" s="45"/>
      <c r="AI24" s="45"/>
      <c r="AJ24" s="45"/>
      <c r="AK24" s="45"/>
      <c r="AL24" s="45"/>
      <c r="AM24" s="45"/>
      <c r="AN24" s="45"/>
    </row>
    <row r="25" spans="1:41" x14ac:dyDescent="0.25">
      <c r="C25" s="42"/>
      <c r="E25" s="32"/>
      <c r="M25" s="42"/>
      <c r="N25" s="42"/>
      <c r="O25" s="43"/>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row>
    <row r="26" spans="1:41" ht="39.6" x14ac:dyDescent="0.25">
      <c r="C26" s="42"/>
      <c r="L26" s="1" t="s">
        <v>88</v>
      </c>
      <c r="M26" s="42"/>
      <c r="N26" s="48"/>
      <c r="O26" s="7" t="s">
        <v>77</v>
      </c>
      <c r="P26" s="3">
        <f t="shared" ref="P26:AM26" si="4">+P10</f>
        <v>2024</v>
      </c>
      <c r="Q26" s="3">
        <f t="shared" si="4"/>
        <v>2025</v>
      </c>
      <c r="R26" s="3">
        <f t="shared" si="4"/>
        <v>2026</v>
      </c>
      <c r="S26" s="3">
        <f t="shared" si="4"/>
        <v>2027</v>
      </c>
      <c r="T26" s="3">
        <f t="shared" si="4"/>
        <v>2028</v>
      </c>
      <c r="U26" s="3">
        <f t="shared" si="4"/>
        <v>2029</v>
      </c>
      <c r="V26" s="3">
        <f t="shared" si="4"/>
        <v>2030</v>
      </c>
      <c r="W26" s="3">
        <f t="shared" si="4"/>
        <v>2031</v>
      </c>
      <c r="X26" s="3">
        <f t="shared" si="4"/>
        <v>2032</v>
      </c>
      <c r="Y26" s="3">
        <f t="shared" si="4"/>
        <v>2033</v>
      </c>
      <c r="Z26" s="3">
        <f t="shared" si="4"/>
        <v>2034</v>
      </c>
      <c r="AA26" s="3">
        <f t="shared" si="4"/>
        <v>2035</v>
      </c>
      <c r="AB26" s="3">
        <f t="shared" si="4"/>
        <v>2036</v>
      </c>
      <c r="AC26" s="3">
        <f t="shared" si="4"/>
        <v>2037</v>
      </c>
      <c r="AD26" s="3">
        <f t="shared" si="4"/>
        <v>2038</v>
      </c>
      <c r="AE26" s="3">
        <f t="shared" si="4"/>
        <v>2039</v>
      </c>
      <c r="AF26" s="3">
        <f t="shared" si="4"/>
        <v>2040</v>
      </c>
      <c r="AG26" s="3">
        <f t="shared" si="4"/>
        <v>2041</v>
      </c>
      <c r="AH26" s="3">
        <f t="shared" si="4"/>
        <v>2042</v>
      </c>
      <c r="AI26" s="3">
        <f t="shared" si="4"/>
        <v>2043</v>
      </c>
      <c r="AJ26" s="3">
        <f t="shared" si="4"/>
        <v>2044</v>
      </c>
      <c r="AK26" s="3">
        <f t="shared" si="4"/>
        <v>2045</v>
      </c>
      <c r="AL26" s="3">
        <f t="shared" si="4"/>
        <v>2046</v>
      </c>
      <c r="AM26" s="3">
        <f t="shared" si="4"/>
        <v>2047</v>
      </c>
      <c r="AN26" s="3">
        <f t="shared" ref="AN26" si="5">+AN10</f>
        <v>2048</v>
      </c>
    </row>
    <row r="27" spans="1:41" x14ac:dyDescent="0.25">
      <c r="L27" s="1" t="s">
        <v>89</v>
      </c>
      <c r="M27" s="42"/>
      <c r="N27" s="48"/>
      <c r="O27" s="43">
        <f t="shared" ref="O27:AM27" si="6">(O14-O18)/1000</f>
        <v>32541.351311922775</v>
      </c>
      <c r="P27" s="42">
        <f t="shared" si="6"/>
        <v>-779.40335491070709</v>
      </c>
      <c r="Q27" s="42">
        <f t="shared" si="6"/>
        <v>-3808.0779914332461</v>
      </c>
      <c r="R27" s="42">
        <f t="shared" si="6"/>
        <v>-4014.1231824790539</v>
      </c>
      <c r="S27" s="42">
        <f t="shared" si="6"/>
        <v>-2383.2430166542454</v>
      </c>
      <c r="T27" s="42">
        <f t="shared" si="6"/>
        <v>-2188.9000178102797</v>
      </c>
      <c r="U27" s="42">
        <f t="shared" si="6"/>
        <v>-1958.4747155760797</v>
      </c>
      <c r="V27" s="42">
        <f t="shared" si="6"/>
        <v>-1748.801454252271</v>
      </c>
      <c r="W27" s="42">
        <f t="shared" si="6"/>
        <v>-1533.8244915847388</v>
      </c>
      <c r="X27" s="42">
        <f t="shared" si="6"/>
        <v>-1313.4328520239508</v>
      </c>
      <c r="Y27" s="42">
        <f t="shared" si="6"/>
        <v>-1087.5140766702127</v>
      </c>
      <c r="Z27" s="42">
        <f t="shared" si="6"/>
        <v>-855.95483066809174</v>
      </c>
      <c r="AA27" s="42">
        <f t="shared" si="6"/>
        <v>-483.13013916269506</v>
      </c>
      <c r="AB27" s="42">
        <f t="shared" si="6"/>
        <v>-202.53897128007375</v>
      </c>
      <c r="AC27" s="42">
        <f t="shared" si="6"/>
        <v>510.48880422201938</v>
      </c>
      <c r="AD27" s="42">
        <f t="shared" si="6"/>
        <v>1839.2248330366426</v>
      </c>
      <c r="AE27" s="42">
        <f t="shared" si="6"/>
        <v>2333.3302266529295</v>
      </c>
      <c r="AF27" s="42">
        <f t="shared" si="6"/>
        <v>-1781.9580344328863</v>
      </c>
      <c r="AG27" s="42">
        <f t="shared" si="6"/>
        <v>-4997.474928839707</v>
      </c>
      <c r="AH27" s="42">
        <f t="shared" si="6"/>
        <v>-4402.3537982340276</v>
      </c>
      <c r="AI27" s="42">
        <f t="shared" si="6"/>
        <v>-4243.7831682340275</v>
      </c>
      <c r="AJ27" s="42">
        <f t="shared" si="6"/>
        <v>-4122.9973182340273</v>
      </c>
      <c r="AK27" s="42">
        <f t="shared" si="6"/>
        <v>-4096.5539082340274</v>
      </c>
      <c r="AL27" s="42">
        <f t="shared" si="6"/>
        <v>-3917.2463382340275</v>
      </c>
      <c r="AM27" s="42">
        <f t="shared" si="6"/>
        <v>-3322.7855682340273</v>
      </c>
      <c r="AN27" s="42">
        <f t="shared" ref="AN27" si="7">(AN14-AN18)/1000</f>
        <v>-1063.9455241170137</v>
      </c>
    </row>
    <row r="28" spans="1:41" x14ac:dyDescent="0.25">
      <c r="M28" s="42"/>
      <c r="N28" s="42"/>
      <c r="O28" s="47"/>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41" x14ac:dyDescent="0.25">
      <c r="M29" s="42"/>
      <c r="N29" s="42"/>
      <c r="O29" s="43">
        <f>SUM(O27:O28)</f>
        <v>32541.351311922775</v>
      </c>
      <c r="P29" s="42">
        <f t="shared" ref="P29:AM29" si="8">SUM(P27:P28)</f>
        <v>-779.40335491070709</v>
      </c>
      <c r="Q29" s="42">
        <f t="shared" si="8"/>
        <v>-3808.0779914332461</v>
      </c>
      <c r="R29" s="42">
        <f t="shared" si="8"/>
        <v>-4014.1231824790539</v>
      </c>
      <c r="S29" s="42">
        <f t="shared" si="8"/>
        <v>-2383.2430166542454</v>
      </c>
      <c r="T29" s="42">
        <f t="shared" si="8"/>
        <v>-2188.9000178102797</v>
      </c>
      <c r="U29" s="42">
        <f t="shared" si="8"/>
        <v>-1958.4747155760797</v>
      </c>
      <c r="V29" s="42">
        <f t="shared" si="8"/>
        <v>-1748.801454252271</v>
      </c>
      <c r="W29" s="42">
        <f t="shared" si="8"/>
        <v>-1533.8244915847388</v>
      </c>
      <c r="X29" s="42">
        <f t="shared" si="8"/>
        <v>-1313.4328520239508</v>
      </c>
      <c r="Y29" s="42">
        <f t="shared" si="8"/>
        <v>-1087.5140766702127</v>
      </c>
      <c r="Z29" s="42">
        <f t="shared" si="8"/>
        <v>-855.95483066809174</v>
      </c>
      <c r="AA29" s="42">
        <f t="shared" si="8"/>
        <v>-483.13013916269506</v>
      </c>
      <c r="AB29" s="42">
        <f t="shared" si="8"/>
        <v>-202.53897128007375</v>
      </c>
      <c r="AC29" s="42">
        <f t="shared" si="8"/>
        <v>510.48880422201938</v>
      </c>
      <c r="AD29" s="42">
        <f t="shared" si="8"/>
        <v>1839.2248330366426</v>
      </c>
      <c r="AE29" s="42">
        <f t="shared" si="8"/>
        <v>2333.3302266529295</v>
      </c>
      <c r="AF29" s="42">
        <f t="shared" si="8"/>
        <v>-1781.9580344328863</v>
      </c>
      <c r="AG29" s="42">
        <f t="shared" si="8"/>
        <v>-4997.474928839707</v>
      </c>
      <c r="AH29" s="42">
        <f t="shared" si="8"/>
        <v>-4402.3537982340276</v>
      </c>
      <c r="AI29" s="42">
        <f t="shared" si="8"/>
        <v>-4243.7831682340275</v>
      </c>
      <c r="AJ29" s="42">
        <f t="shared" si="8"/>
        <v>-4122.9973182340273</v>
      </c>
      <c r="AK29" s="42">
        <f t="shared" si="8"/>
        <v>-4096.5539082340274</v>
      </c>
      <c r="AL29" s="42">
        <f t="shared" si="8"/>
        <v>-3917.2463382340275</v>
      </c>
      <c r="AM29" s="42">
        <f t="shared" si="8"/>
        <v>-3322.7855682340273</v>
      </c>
      <c r="AN29" s="42">
        <f t="shared" ref="AN29" si="9">SUM(AN27:AN28)</f>
        <v>-1063.9455241170137</v>
      </c>
    </row>
    <row r="30" spans="1:41" x14ac:dyDescent="0.25">
      <c r="L30" s="1" t="s">
        <v>90</v>
      </c>
      <c r="M30" s="42"/>
      <c r="N30" s="42"/>
      <c r="O30" s="43"/>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row>
    <row r="31" spans="1:41" x14ac:dyDescent="0.25">
      <c r="L31" s="1" t="str">
        <f>+L27</f>
        <v>Stormwater</v>
      </c>
      <c r="M31" s="42"/>
      <c r="N31" s="42"/>
      <c r="O31" s="43">
        <f>SUM(M31,O27)</f>
        <v>32541.351311922775</v>
      </c>
      <c r="P31" s="42">
        <f>SUM($O$27,$P27:P27)</f>
        <v>31761.947957012067</v>
      </c>
      <c r="Q31" s="42">
        <f>SUM($O$27,$P27:Q27)</f>
        <v>27953.869965578822</v>
      </c>
      <c r="R31" s="42">
        <f>SUM($O$27,$P27:R27)</f>
        <v>23939.74678309977</v>
      </c>
      <c r="S31" s="42">
        <f>SUM($O$27,$P27:S27)</f>
        <v>21556.503766445523</v>
      </c>
      <c r="T31" s="42">
        <f>SUM($O$27,$P27:T27)</f>
        <v>19367.603748635243</v>
      </c>
      <c r="U31" s="42">
        <f>SUM($O$27,$P27:U27)</f>
        <v>17409.129033059166</v>
      </c>
      <c r="V31" s="42">
        <f>SUM($O$27,$P27:V27)</f>
        <v>15660.327578806895</v>
      </c>
      <c r="W31" s="42">
        <f>SUM($O$27,$P27:W27)</f>
        <v>14126.503087222156</v>
      </c>
      <c r="X31" s="42">
        <f>SUM($O$27,$P27:X27)</f>
        <v>12813.070235198205</v>
      </c>
      <c r="Y31" s="42">
        <f>SUM($O$27,$P27:Y27)</f>
        <v>11725.556158527992</v>
      </c>
      <c r="Z31" s="42">
        <f>SUM($O$27,$P27:Z27)</f>
        <v>10869.6013278599</v>
      </c>
      <c r="AA31" s="42">
        <f>SUM($O$27,$P27:AA27)</f>
        <v>10386.471188697205</v>
      </c>
      <c r="AB31" s="42">
        <f>SUM($O$27,$P27:AB27)</f>
        <v>10183.932217417132</v>
      </c>
      <c r="AC31" s="42">
        <f>SUM($O$27,$P27:AC27)</f>
        <v>10694.421021639151</v>
      </c>
      <c r="AD31" s="42">
        <f>SUM($O$27,$P27:AD27)</f>
        <v>12533.645854675793</v>
      </c>
      <c r="AE31" s="42">
        <f>SUM($O$27,$P27:AE27)</f>
        <v>14866.976081328723</v>
      </c>
      <c r="AF31" s="42">
        <f>SUM($O$27,$P27:AF27)</f>
        <v>13085.018046895837</v>
      </c>
      <c r="AG31" s="42">
        <f>SUM($O$27,$P27:AG27)</f>
        <v>8087.54311805613</v>
      </c>
      <c r="AH31" s="42">
        <f>SUM($O$27,$P27:AH27)</f>
        <v>3685.1893198221023</v>
      </c>
      <c r="AI31" s="42">
        <f>SUM($O$27,$P27:AI27)</f>
        <v>-558.59384841192514</v>
      </c>
      <c r="AJ31" s="42">
        <f>SUM($O$27,$P27:AJ27)</f>
        <v>-4681.5911666459524</v>
      </c>
      <c r="AK31" s="42">
        <f>SUM($O$27,$P27:AK27)</f>
        <v>-8778.1450748799798</v>
      </c>
      <c r="AL31" s="42">
        <f>SUM($O$27,$P27:AL27)</f>
        <v>-12695.391413114008</v>
      </c>
      <c r="AM31" s="42">
        <f>SUM($O$27,$P27:AM27)</f>
        <v>-16018.176981348035</v>
      </c>
      <c r="AN31" s="42">
        <f>SUM($O$27,$P27:AN27)</f>
        <v>-17082.122505465049</v>
      </c>
    </row>
    <row r="32" spans="1:41" x14ac:dyDescent="0.25">
      <c r="M32" s="42"/>
      <c r="N32" s="42"/>
      <c r="O32" s="47"/>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row>
    <row r="33" spans="1:40" x14ac:dyDescent="0.25">
      <c r="A33" s="22"/>
      <c r="B33" s="22"/>
      <c r="C33" s="22"/>
      <c r="E33" s="22"/>
      <c r="F33" s="22"/>
      <c r="G33" s="22"/>
      <c r="H33" s="22"/>
      <c r="I33" s="22"/>
      <c r="J33" s="22"/>
      <c r="K33" s="22"/>
      <c r="L33" s="22" t="s">
        <v>91</v>
      </c>
      <c r="M33" s="49"/>
      <c r="N33" s="49"/>
      <c r="O33" s="47">
        <f t="shared" ref="O33:AM33" si="10">SUM(O31:O32)</f>
        <v>32541.351311922775</v>
      </c>
      <c r="P33" s="49">
        <f>SUM(P31:P32)</f>
        <v>31761.947957012067</v>
      </c>
      <c r="Q33" s="49">
        <f t="shared" si="10"/>
        <v>27953.869965578822</v>
      </c>
      <c r="R33" s="49">
        <f t="shared" si="10"/>
        <v>23939.74678309977</v>
      </c>
      <c r="S33" s="49">
        <f t="shared" si="10"/>
        <v>21556.503766445523</v>
      </c>
      <c r="T33" s="49">
        <f t="shared" si="10"/>
        <v>19367.603748635243</v>
      </c>
      <c r="U33" s="49">
        <f t="shared" si="10"/>
        <v>17409.129033059166</v>
      </c>
      <c r="V33" s="49">
        <f t="shared" si="10"/>
        <v>15660.327578806895</v>
      </c>
      <c r="W33" s="49">
        <f t="shared" si="10"/>
        <v>14126.503087222156</v>
      </c>
      <c r="X33" s="49">
        <f t="shared" si="10"/>
        <v>12813.070235198205</v>
      </c>
      <c r="Y33" s="49">
        <f t="shared" si="10"/>
        <v>11725.556158527992</v>
      </c>
      <c r="Z33" s="49">
        <f t="shared" si="10"/>
        <v>10869.6013278599</v>
      </c>
      <c r="AA33" s="49">
        <f t="shared" si="10"/>
        <v>10386.471188697205</v>
      </c>
      <c r="AB33" s="49">
        <f t="shared" si="10"/>
        <v>10183.932217417132</v>
      </c>
      <c r="AC33" s="49">
        <f t="shared" si="10"/>
        <v>10694.421021639151</v>
      </c>
      <c r="AD33" s="49">
        <f t="shared" si="10"/>
        <v>12533.645854675793</v>
      </c>
      <c r="AE33" s="49">
        <f t="shared" si="10"/>
        <v>14866.976081328723</v>
      </c>
      <c r="AF33" s="49">
        <f t="shared" si="10"/>
        <v>13085.018046895837</v>
      </c>
      <c r="AG33" s="49">
        <f t="shared" si="10"/>
        <v>8087.54311805613</v>
      </c>
      <c r="AH33" s="49">
        <f t="shared" si="10"/>
        <v>3685.1893198221023</v>
      </c>
      <c r="AI33" s="49">
        <f t="shared" si="10"/>
        <v>-558.59384841192514</v>
      </c>
      <c r="AJ33" s="49">
        <f t="shared" si="10"/>
        <v>-4681.5911666459524</v>
      </c>
      <c r="AK33" s="49">
        <f t="shared" si="10"/>
        <v>-8778.1450748799798</v>
      </c>
      <c r="AL33" s="49">
        <f t="shared" si="10"/>
        <v>-12695.391413114008</v>
      </c>
      <c r="AM33" s="49">
        <f t="shared" si="10"/>
        <v>-16018.176981348035</v>
      </c>
      <c r="AN33" s="49">
        <f t="shared" ref="AN33" si="11">SUM(AN31:AN32)</f>
        <v>-17082.122505465049</v>
      </c>
    </row>
    <row r="34" spans="1:40" s="22" customFormat="1" x14ac:dyDescent="0.25">
      <c r="A34" s="1"/>
      <c r="B34" s="1"/>
      <c r="C34" s="1"/>
      <c r="E34" s="1"/>
      <c r="F34" s="1"/>
      <c r="G34" s="1"/>
      <c r="H34" s="1"/>
      <c r="I34" s="1"/>
      <c r="J34" s="1"/>
      <c r="K34" s="1"/>
      <c r="L34" s="1"/>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row>
    <row r="35" spans="1:40" x14ac:dyDescent="0.25">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row>
    <row r="36" spans="1:40" x14ac:dyDescent="0.25">
      <c r="M36" s="28"/>
    </row>
    <row r="37" spans="1:40" x14ac:dyDescent="0.25">
      <c r="M37" s="36"/>
    </row>
    <row r="38" spans="1:40" x14ac:dyDescent="0.25">
      <c r="AF38" s="28"/>
    </row>
  </sheetData>
  <pageMargins left="0.7" right="0.7" top="0.75" bottom="0.75" header="0.3" footer="0.3"/>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7C87-4535-41F3-9782-3F6BDC49CF10}">
  <dimension ref="A1:BA38"/>
  <sheetViews>
    <sheetView showGridLines="0" topLeftCell="A4" zoomScale="70" zoomScaleNormal="70" workbookViewId="0">
      <selection activeCell="K14" sqref="K14"/>
    </sheetView>
  </sheetViews>
  <sheetFormatPr defaultColWidth="9.21875" defaultRowHeight="13.2" outlineLevelCol="1" x14ac:dyDescent="0.25"/>
  <cols>
    <col min="1" max="1" width="20.77734375" style="1" customWidth="1"/>
    <col min="2" max="2" width="9.21875" style="1"/>
    <col min="3" max="3" width="14.77734375" style="1" customWidth="1"/>
    <col min="4" max="4" width="5.77734375" style="1" customWidth="1"/>
    <col min="5" max="5" width="17.21875" style="1" bestFit="1" customWidth="1"/>
    <col min="6" max="6" width="9.21875" style="1"/>
    <col min="7" max="8" width="1.5546875" style="1" customWidth="1"/>
    <col min="9" max="9" width="9.21875" style="1"/>
    <col min="10" max="10" width="15.77734375" style="1" customWidth="1"/>
    <col min="11" max="11" width="16" style="1" bestFit="1" customWidth="1"/>
    <col min="12" max="12" width="47.77734375" style="1" bestFit="1" customWidth="1"/>
    <col min="13" max="14" width="15.77734375" style="1" customWidth="1"/>
    <col min="15" max="23" width="14.77734375" style="1" customWidth="1"/>
    <col min="24" max="30" width="14.77734375" style="1" customWidth="1" outlineLevel="1"/>
    <col min="31" max="33" width="14.77734375" style="1" customWidth="1"/>
    <col min="34" max="45" width="14.77734375" style="1" customWidth="1" outlineLevel="1"/>
    <col min="46" max="46" width="14.77734375" style="1" customWidth="1"/>
    <col min="47" max="47" width="10.21875" style="1" bestFit="1" customWidth="1"/>
    <col min="48" max="16384" width="9.21875" style="1"/>
  </cols>
  <sheetData>
    <row r="1" spans="1:51" ht="15.6" x14ac:dyDescent="0.3">
      <c r="A1" s="24" t="s">
        <v>70</v>
      </c>
    </row>
    <row r="2" spans="1:51" x14ac:dyDescent="0.25">
      <c r="A2" s="72" t="s">
        <v>92</v>
      </c>
      <c r="B2" s="73"/>
    </row>
    <row r="3" spans="1:51" x14ac:dyDescent="0.25">
      <c r="A3" s="22" t="s">
        <v>93</v>
      </c>
      <c r="C3" s="22"/>
      <c r="D3" s="22"/>
      <c r="E3" s="22"/>
      <c r="F3" s="22"/>
      <c r="G3" s="22"/>
      <c r="H3" s="22"/>
      <c r="I3" s="22"/>
      <c r="J3" s="22"/>
      <c r="K3" s="22"/>
      <c r="L3" s="22"/>
      <c r="M3" s="22"/>
      <c r="N3" s="22"/>
      <c r="O3" s="22"/>
      <c r="P3" s="22"/>
      <c r="Q3" s="22"/>
      <c r="R3" s="22"/>
      <c r="S3" s="22"/>
      <c r="T3" s="22"/>
      <c r="U3" s="22"/>
      <c r="V3" s="22"/>
    </row>
    <row r="5" spans="1:51" s="22" customFormat="1" x14ac:dyDescent="0.25">
      <c r="P5" s="74"/>
      <c r="Q5" s="74"/>
      <c r="R5" s="74"/>
      <c r="S5" s="74"/>
      <c r="T5" s="74"/>
      <c r="U5" s="74"/>
    </row>
    <row r="6" spans="1:51" x14ac:dyDescent="0.25">
      <c r="P6" s="37"/>
      <c r="Q6" s="37"/>
      <c r="R6" s="37"/>
      <c r="S6" s="37"/>
      <c r="T6" s="37"/>
      <c r="U6" s="37"/>
    </row>
    <row r="7" spans="1:51" x14ac:dyDescent="0.25">
      <c r="A7" s="107" t="s">
        <v>73</v>
      </c>
      <c r="B7" s="108" t="e">
        <f>'Tab 11 - General'!#REF!</f>
        <v>#REF!</v>
      </c>
      <c r="M7" s="28"/>
      <c r="P7" s="37"/>
      <c r="Q7" s="37"/>
      <c r="R7" s="37"/>
      <c r="S7" s="37"/>
      <c r="T7" s="37"/>
      <c r="U7" s="37"/>
    </row>
    <row r="8" spans="1:51" x14ac:dyDescent="0.25">
      <c r="P8" s="62"/>
    </row>
    <row r="9" spans="1:51" x14ac:dyDescent="0.25">
      <c r="A9" s="1" t="s">
        <v>94</v>
      </c>
      <c r="M9" s="61"/>
      <c r="P9" s="61"/>
    </row>
    <row r="10" spans="1:51" ht="26.4" x14ac:dyDescent="0.25">
      <c r="L10" s="29"/>
      <c r="M10" s="3" t="s">
        <v>75</v>
      </c>
      <c r="N10" s="3" t="s">
        <v>76</v>
      </c>
      <c r="O10" s="7" t="s">
        <v>95</v>
      </c>
      <c r="P10" s="3">
        <v>2022</v>
      </c>
      <c r="Q10" s="25">
        <v>2023</v>
      </c>
      <c r="R10" s="25">
        <v>2024</v>
      </c>
      <c r="S10" s="25">
        <v>2025</v>
      </c>
      <c r="T10" s="25">
        <v>2026</v>
      </c>
      <c r="U10" s="25">
        <v>2027</v>
      </c>
      <c r="V10" s="25">
        <v>2028</v>
      </c>
      <c r="W10" s="25">
        <v>2029</v>
      </c>
      <c r="X10" s="25">
        <v>2030</v>
      </c>
      <c r="Y10" s="25">
        <v>2031</v>
      </c>
      <c r="Z10" s="25">
        <v>2032</v>
      </c>
      <c r="AA10" s="25">
        <v>2033</v>
      </c>
      <c r="AB10" s="25">
        <v>2034</v>
      </c>
      <c r="AC10" s="25">
        <v>2035</v>
      </c>
      <c r="AD10" s="25">
        <v>2036</v>
      </c>
      <c r="AE10" s="25">
        <v>2037</v>
      </c>
      <c r="AF10" s="25">
        <v>2038</v>
      </c>
      <c r="AG10" s="25">
        <v>2039</v>
      </c>
      <c r="AH10" s="25">
        <v>2040</v>
      </c>
      <c r="AI10" s="25">
        <v>2041</v>
      </c>
      <c r="AJ10" s="25">
        <v>2042</v>
      </c>
      <c r="AK10" s="25">
        <v>2043</v>
      </c>
      <c r="AL10" s="25">
        <v>2044</v>
      </c>
      <c r="AM10" s="25">
        <v>2045</v>
      </c>
      <c r="AN10" s="25">
        <v>2046</v>
      </c>
      <c r="AO10" s="80">
        <v>2047</v>
      </c>
      <c r="AP10" s="75"/>
      <c r="AQ10" s="75"/>
      <c r="AR10" s="75"/>
      <c r="AS10" s="75"/>
      <c r="AT10" s="75"/>
      <c r="AU10" s="75"/>
      <c r="AV10" s="75"/>
      <c r="AW10" s="75"/>
      <c r="AX10" s="75"/>
      <c r="AY10" s="75"/>
    </row>
    <row r="11" spans="1:51" x14ac:dyDescent="0.25">
      <c r="A11" s="1" t="s">
        <v>96</v>
      </c>
      <c r="K11" s="23" t="s">
        <v>97</v>
      </c>
      <c r="L11" s="4" t="s">
        <v>79</v>
      </c>
      <c r="M11" s="28">
        <f>SUM(P11:AU11)</f>
        <v>4293</v>
      </c>
      <c r="O11" s="34"/>
      <c r="P11" s="2">
        <v>260</v>
      </c>
      <c r="Q11" s="2">
        <v>260</v>
      </c>
      <c r="R11" s="2">
        <v>260</v>
      </c>
      <c r="S11" s="2">
        <v>260</v>
      </c>
      <c r="T11" s="2">
        <v>260</v>
      </c>
      <c r="U11" s="2">
        <v>260</v>
      </c>
      <c r="V11" s="2">
        <v>260</v>
      </c>
      <c r="W11" s="2">
        <v>260</v>
      </c>
      <c r="X11" s="2">
        <v>260</v>
      </c>
      <c r="Y11" s="2">
        <v>260</v>
      </c>
      <c r="Z11" s="2">
        <v>260</v>
      </c>
      <c r="AA11" s="2">
        <v>260</v>
      </c>
      <c r="AB11" s="2">
        <v>260</v>
      </c>
      <c r="AC11" s="2">
        <v>260</v>
      </c>
      <c r="AD11" s="2">
        <v>260</v>
      </c>
      <c r="AE11" s="2">
        <v>260</v>
      </c>
      <c r="AF11" s="2">
        <v>133</v>
      </c>
      <c r="AG11" s="2"/>
      <c r="AH11" s="2"/>
      <c r="AI11" s="2"/>
      <c r="AJ11" s="2"/>
      <c r="AK11" s="2"/>
      <c r="AL11" s="2">
        <v>0</v>
      </c>
      <c r="AM11" s="2">
        <v>0</v>
      </c>
      <c r="AN11" s="2">
        <v>0</v>
      </c>
      <c r="AO11" s="81">
        <v>0</v>
      </c>
      <c r="AP11" s="2"/>
      <c r="AQ11" s="2"/>
      <c r="AR11" s="2"/>
      <c r="AS11" s="2"/>
      <c r="AT11" s="2"/>
      <c r="AU11" s="2"/>
      <c r="AV11" s="2"/>
      <c r="AW11" s="2"/>
      <c r="AX11" s="2"/>
      <c r="AY11" s="2"/>
    </row>
    <row r="12" spans="1:51" x14ac:dyDescent="0.25">
      <c r="A12" s="1" t="s">
        <v>98</v>
      </c>
      <c r="D12" s="1" t="s">
        <v>99</v>
      </c>
      <c r="E12" s="31" t="e">
        <f>+N18</f>
        <v>#REF!</v>
      </c>
      <c r="F12" s="30"/>
      <c r="G12" s="22"/>
      <c r="H12" s="22"/>
      <c r="I12" s="22" t="s">
        <v>100</v>
      </c>
      <c r="J12" s="22"/>
      <c r="K12" s="52" t="e">
        <f>E12/E16</f>
        <v>#REF!</v>
      </c>
      <c r="L12" s="4" t="s">
        <v>101</v>
      </c>
      <c r="M12" s="42"/>
      <c r="N12" s="42"/>
      <c r="O12" s="43"/>
      <c r="P12" s="42" t="e">
        <f>+K12</f>
        <v>#REF!</v>
      </c>
      <c r="Q12" s="42" t="e">
        <f>P12*(1+$B$7)</f>
        <v>#REF!</v>
      </c>
      <c r="R12" s="42" t="e">
        <f>Q12*(1+$B$7)</f>
        <v>#REF!</v>
      </c>
      <c r="S12" s="42" t="e">
        <f t="shared" ref="S12:AO12" si="0">R12*(1+$B$7)</f>
        <v>#REF!</v>
      </c>
      <c r="T12" s="42" t="e">
        <f t="shared" si="0"/>
        <v>#REF!</v>
      </c>
      <c r="U12" s="42" t="e">
        <f t="shared" si="0"/>
        <v>#REF!</v>
      </c>
      <c r="V12" s="42" t="e">
        <f t="shared" si="0"/>
        <v>#REF!</v>
      </c>
      <c r="W12" s="42" t="e">
        <f t="shared" si="0"/>
        <v>#REF!</v>
      </c>
      <c r="X12" s="42" t="e">
        <f t="shared" si="0"/>
        <v>#REF!</v>
      </c>
      <c r="Y12" s="42" t="e">
        <f t="shared" si="0"/>
        <v>#REF!</v>
      </c>
      <c r="Z12" s="42" t="e">
        <f t="shared" si="0"/>
        <v>#REF!</v>
      </c>
      <c r="AA12" s="42" t="e">
        <f t="shared" si="0"/>
        <v>#REF!</v>
      </c>
      <c r="AB12" s="42" t="e">
        <f t="shared" si="0"/>
        <v>#REF!</v>
      </c>
      <c r="AC12" s="42" t="e">
        <f t="shared" si="0"/>
        <v>#REF!</v>
      </c>
      <c r="AD12" s="42" t="e">
        <f t="shared" si="0"/>
        <v>#REF!</v>
      </c>
      <c r="AE12" s="42" t="e">
        <f t="shared" si="0"/>
        <v>#REF!</v>
      </c>
      <c r="AF12" s="42" t="e">
        <f t="shared" si="0"/>
        <v>#REF!</v>
      </c>
      <c r="AG12" s="42" t="e">
        <f t="shared" si="0"/>
        <v>#REF!</v>
      </c>
      <c r="AH12" s="42" t="e">
        <f t="shared" si="0"/>
        <v>#REF!</v>
      </c>
      <c r="AI12" s="42" t="e">
        <f t="shared" si="0"/>
        <v>#REF!</v>
      </c>
      <c r="AJ12" s="42" t="e">
        <f t="shared" si="0"/>
        <v>#REF!</v>
      </c>
      <c r="AK12" s="42" t="e">
        <f t="shared" si="0"/>
        <v>#REF!</v>
      </c>
      <c r="AL12" s="42" t="e">
        <f t="shared" si="0"/>
        <v>#REF!</v>
      </c>
      <c r="AM12" s="42" t="e">
        <f t="shared" si="0"/>
        <v>#REF!</v>
      </c>
      <c r="AN12" s="42" t="e">
        <f t="shared" si="0"/>
        <v>#REF!</v>
      </c>
      <c r="AO12" s="82" t="e">
        <f t="shared" si="0"/>
        <v>#REF!</v>
      </c>
      <c r="AP12" s="42"/>
      <c r="AQ12" s="42"/>
      <c r="AR12" s="42"/>
      <c r="AS12" s="42"/>
      <c r="AT12" s="42"/>
      <c r="AU12" s="42"/>
      <c r="AV12" s="40"/>
      <c r="AW12" s="40"/>
      <c r="AX12" s="40"/>
      <c r="AY12" s="40"/>
    </row>
    <row r="13" spans="1:51" x14ac:dyDescent="0.25">
      <c r="A13" s="1" t="s">
        <v>102</v>
      </c>
      <c r="D13" s="1" t="s">
        <v>99</v>
      </c>
      <c r="E13" s="50" t="e">
        <f>+N19</f>
        <v>#REF!</v>
      </c>
      <c r="F13" s="30"/>
      <c r="G13" s="22"/>
      <c r="H13" s="22"/>
      <c r="I13" s="22" t="s">
        <v>103</v>
      </c>
      <c r="J13" s="22"/>
      <c r="K13" s="52" t="e">
        <f>E13/E16</f>
        <v>#REF!</v>
      </c>
      <c r="L13" s="4" t="s">
        <v>104</v>
      </c>
      <c r="M13" s="42"/>
      <c r="N13" s="42"/>
      <c r="O13" s="43"/>
      <c r="P13" s="42" t="e">
        <f>+K13</f>
        <v>#REF!</v>
      </c>
      <c r="Q13" s="42" t="e">
        <f>P13*(1+$B$7)</f>
        <v>#REF!</v>
      </c>
      <c r="R13" s="42" t="e">
        <f>Q13*(1+$B$7)</f>
        <v>#REF!</v>
      </c>
      <c r="S13" s="42" t="e">
        <f t="shared" ref="S13:AO13" si="1">R13*(1+$B$7)</f>
        <v>#REF!</v>
      </c>
      <c r="T13" s="42" t="e">
        <f t="shared" si="1"/>
        <v>#REF!</v>
      </c>
      <c r="U13" s="42" t="e">
        <f t="shared" si="1"/>
        <v>#REF!</v>
      </c>
      <c r="V13" s="42" t="e">
        <f t="shared" si="1"/>
        <v>#REF!</v>
      </c>
      <c r="W13" s="42" t="e">
        <f t="shared" si="1"/>
        <v>#REF!</v>
      </c>
      <c r="X13" s="42" t="e">
        <f t="shared" si="1"/>
        <v>#REF!</v>
      </c>
      <c r="Y13" s="42" t="e">
        <f t="shared" si="1"/>
        <v>#REF!</v>
      </c>
      <c r="Z13" s="42" t="e">
        <f t="shared" si="1"/>
        <v>#REF!</v>
      </c>
      <c r="AA13" s="42" t="e">
        <f t="shared" si="1"/>
        <v>#REF!</v>
      </c>
      <c r="AB13" s="42" t="e">
        <f t="shared" si="1"/>
        <v>#REF!</v>
      </c>
      <c r="AC13" s="42" t="e">
        <f t="shared" si="1"/>
        <v>#REF!</v>
      </c>
      <c r="AD13" s="42" t="e">
        <f t="shared" si="1"/>
        <v>#REF!</v>
      </c>
      <c r="AE13" s="42" t="e">
        <f t="shared" si="1"/>
        <v>#REF!</v>
      </c>
      <c r="AF13" s="42" t="e">
        <f t="shared" si="1"/>
        <v>#REF!</v>
      </c>
      <c r="AG13" s="42" t="e">
        <f t="shared" si="1"/>
        <v>#REF!</v>
      </c>
      <c r="AH13" s="42" t="e">
        <f t="shared" si="1"/>
        <v>#REF!</v>
      </c>
      <c r="AI13" s="42" t="e">
        <f t="shared" si="1"/>
        <v>#REF!</v>
      </c>
      <c r="AJ13" s="42" t="e">
        <f t="shared" si="1"/>
        <v>#REF!</v>
      </c>
      <c r="AK13" s="42" t="e">
        <f t="shared" si="1"/>
        <v>#REF!</v>
      </c>
      <c r="AL13" s="42" t="e">
        <f t="shared" si="1"/>
        <v>#REF!</v>
      </c>
      <c r="AM13" s="42" t="e">
        <f t="shared" si="1"/>
        <v>#REF!</v>
      </c>
      <c r="AN13" s="42" t="e">
        <f t="shared" si="1"/>
        <v>#REF!</v>
      </c>
      <c r="AO13" s="82" t="e">
        <f t="shared" si="1"/>
        <v>#REF!</v>
      </c>
      <c r="AP13" s="42"/>
      <c r="AQ13" s="42"/>
      <c r="AR13" s="42"/>
      <c r="AS13" s="42"/>
      <c r="AT13" s="42"/>
      <c r="AU13" s="42"/>
      <c r="AV13" s="40"/>
      <c r="AW13" s="40"/>
      <c r="AX13" s="40"/>
      <c r="AY13" s="40"/>
    </row>
    <row r="14" spans="1:51" ht="13.8" thickBot="1" x14ac:dyDescent="0.3">
      <c r="E14" s="51" t="e">
        <f>SUM(E12:E13)</f>
        <v>#REF!</v>
      </c>
      <c r="F14" s="22"/>
      <c r="G14" s="22"/>
      <c r="H14" s="22"/>
      <c r="I14" s="22"/>
      <c r="J14" s="8" t="s">
        <v>82</v>
      </c>
      <c r="K14" s="27" t="e">
        <f>SUM(K12:K13)</f>
        <v>#REF!</v>
      </c>
      <c r="L14" s="4" t="s">
        <v>105</v>
      </c>
      <c r="M14" s="42" t="e">
        <f>SUM(P14:AT14)</f>
        <v>#REF!</v>
      </c>
      <c r="N14" s="42" t="e">
        <f>NPV($B$7,Q14:AU14)+P14</f>
        <v>#REF!</v>
      </c>
      <c r="O14" s="43"/>
      <c r="P14" s="42" t="e">
        <f>P11*P12</f>
        <v>#REF!</v>
      </c>
      <c r="Q14" s="42" t="e">
        <f t="shared" ref="Q14:AB14" si="2">Q11*Q12</f>
        <v>#REF!</v>
      </c>
      <c r="R14" s="42" t="e">
        <f t="shared" si="2"/>
        <v>#REF!</v>
      </c>
      <c r="S14" s="42" t="e">
        <f t="shared" si="2"/>
        <v>#REF!</v>
      </c>
      <c r="T14" s="42" t="e">
        <f t="shared" si="2"/>
        <v>#REF!</v>
      </c>
      <c r="U14" s="49" t="e">
        <f t="shared" si="2"/>
        <v>#REF!</v>
      </c>
      <c r="V14" s="42" t="e">
        <f t="shared" si="2"/>
        <v>#REF!</v>
      </c>
      <c r="W14" s="42" t="e">
        <f t="shared" si="2"/>
        <v>#REF!</v>
      </c>
      <c r="X14" s="40" t="e">
        <f t="shared" si="2"/>
        <v>#REF!</v>
      </c>
      <c r="Y14" s="40" t="e">
        <f t="shared" si="2"/>
        <v>#REF!</v>
      </c>
      <c r="Z14" s="40" t="e">
        <f t="shared" si="2"/>
        <v>#REF!</v>
      </c>
      <c r="AA14" s="40" t="e">
        <f t="shared" si="2"/>
        <v>#REF!</v>
      </c>
      <c r="AB14" s="40" t="e">
        <f t="shared" si="2"/>
        <v>#REF!</v>
      </c>
      <c r="AC14" s="40" t="e">
        <f>(AC11*AC12)</f>
        <v>#REF!</v>
      </c>
      <c r="AD14" s="40" t="e">
        <f t="shared" ref="AD14:AO14" si="3">AD11*AD12</f>
        <v>#REF!</v>
      </c>
      <c r="AE14" s="41" t="e">
        <f>AE11*AE12</f>
        <v>#REF!</v>
      </c>
      <c r="AF14" s="40" t="e">
        <f t="shared" si="3"/>
        <v>#REF!</v>
      </c>
      <c r="AG14" s="40" t="e">
        <f t="shared" si="3"/>
        <v>#REF!</v>
      </c>
      <c r="AH14" s="40" t="e">
        <f t="shared" si="3"/>
        <v>#REF!</v>
      </c>
      <c r="AI14" s="40" t="e">
        <f>AI11*AI12</f>
        <v>#REF!</v>
      </c>
      <c r="AJ14" s="40" t="e">
        <f t="shared" si="3"/>
        <v>#REF!</v>
      </c>
      <c r="AK14" s="40" t="e">
        <f t="shared" si="3"/>
        <v>#REF!</v>
      </c>
      <c r="AL14" s="40" t="e">
        <f t="shared" si="3"/>
        <v>#REF!</v>
      </c>
      <c r="AM14" s="40" t="e">
        <f t="shared" si="3"/>
        <v>#REF!</v>
      </c>
      <c r="AN14" s="40" t="e">
        <f t="shared" si="3"/>
        <v>#REF!</v>
      </c>
      <c r="AO14" s="83" t="e">
        <f t="shared" si="3"/>
        <v>#REF!</v>
      </c>
      <c r="AP14" s="40"/>
      <c r="AQ14" s="40"/>
      <c r="AR14" s="40"/>
      <c r="AS14" s="40"/>
      <c r="AT14" s="40"/>
      <c r="AU14" s="40"/>
      <c r="AV14" s="40"/>
      <c r="AW14" s="40"/>
      <c r="AX14" s="40"/>
      <c r="AY14" s="40"/>
    </row>
    <row r="15" spans="1:51" x14ac:dyDescent="0.25">
      <c r="E15" s="5"/>
      <c r="L15" s="4" t="s">
        <v>106</v>
      </c>
      <c r="M15" s="45" t="e">
        <f>SUM(P15:AT15)</f>
        <v>#REF!</v>
      </c>
      <c r="N15" s="46" t="e">
        <f>NPV($B$7,Q15:AU15)+P15</f>
        <v>#REF!</v>
      </c>
      <c r="O15" s="47"/>
      <c r="P15" s="42" t="e">
        <f t="shared" ref="P15:AO15" si="4">P13*P11</f>
        <v>#REF!</v>
      </c>
      <c r="Q15" s="42" t="e">
        <f t="shared" si="4"/>
        <v>#REF!</v>
      </c>
      <c r="R15" s="42" t="e">
        <f t="shared" si="4"/>
        <v>#REF!</v>
      </c>
      <c r="S15" s="42" t="e">
        <f t="shared" si="4"/>
        <v>#REF!</v>
      </c>
      <c r="T15" s="42" t="e">
        <f t="shared" si="4"/>
        <v>#REF!</v>
      </c>
      <c r="U15" s="49" t="e">
        <f t="shared" si="4"/>
        <v>#REF!</v>
      </c>
      <c r="V15" s="42" t="e">
        <f t="shared" si="4"/>
        <v>#REF!</v>
      </c>
      <c r="W15" s="42" t="e">
        <f t="shared" si="4"/>
        <v>#REF!</v>
      </c>
      <c r="X15" s="40" t="e">
        <f t="shared" si="4"/>
        <v>#REF!</v>
      </c>
      <c r="Y15" s="40" t="e">
        <f t="shared" si="4"/>
        <v>#REF!</v>
      </c>
      <c r="Z15" s="40" t="e">
        <f t="shared" si="4"/>
        <v>#REF!</v>
      </c>
      <c r="AA15" s="40" t="e">
        <f t="shared" si="4"/>
        <v>#REF!</v>
      </c>
      <c r="AB15" s="40" t="e">
        <f t="shared" si="4"/>
        <v>#REF!</v>
      </c>
      <c r="AC15" s="40" t="e">
        <f t="shared" si="4"/>
        <v>#REF!</v>
      </c>
      <c r="AD15" s="40" t="e">
        <f t="shared" si="4"/>
        <v>#REF!</v>
      </c>
      <c r="AE15" s="41" t="e">
        <f t="shared" si="4"/>
        <v>#REF!</v>
      </c>
      <c r="AF15" s="40" t="e">
        <f t="shared" si="4"/>
        <v>#REF!</v>
      </c>
      <c r="AG15" s="40" t="e">
        <f t="shared" si="4"/>
        <v>#REF!</v>
      </c>
      <c r="AH15" s="40" t="e">
        <f t="shared" si="4"/>
        <v>#REF!</v>
      </c>
      <c r="AI15" s="40" t="e">
        <f t="shared" si="4"/>
        <v>#REF!</v>
      </c>
      <c r="AJ15" s="40" t="e">
        <f t="shared" si="4"/>
        <v>#REF!</v>
      </c>
      <c r="AK15" s="40" t="e">
        <f t="shared" si="4"/>
        <v>#REF!</v>
      </c>
      <c r="AL15" s="40" t="e">
        <f t="shared" si="4"/>
        <v>#REF!</v>
      </c>
      <c r="AM15" s="40" t="e">
        <f t="shared" si="4"/>
        <v>#REF!</v>
      </c>
      <c r="AN15" s="40" t="e">
        <f t="shared" si="4"/>
        <v>#REF!</v>
      </c>
      <c r="AO15" s="83" t="e">
        <f t="shared" si="4"/>
        <v>#REF!</v>
      </c>
      <c r="AP15" s="40"/>
      <c r="AQ15" s="40"/>
      <c r="AR15" s="40"/>
      <c r="AS15" s="40"/>
      <c r="AT15" s="40"/>
      <c r="AU15" s="40"/>
      <c r="AV15" s="40"/>
      <c r="AW15" s="40"/>
      <c r="AX15" s="40"/>
      <c r="AY15" s="40"/>
    </row>
    <row r="16" spans="1:51" x14ac:dyDescent="0.25">
      <c r="A16" s="1" t="s">
        <v>107</v>
      </c>
      <c r="D16" s="1" t="s">
        <v>99</v>
      </c>
      <c r="E16" s="32">
        <f>M11</f>
        <v>4293</v>
      </c>
      <c r="L16" s="4"/>
      <c r="M16" s="42" t="e">
        <f>SUM(M14:M15)</f>
        <v>#REF!</v>
      </c>
      <c r="N16" s="42" t="e">
        <f>SUM(N14:N15)</f>
        <v>#REF!</v>
      </c>
      <c r="O16" s="43"/>
      <c r="P16" s="42"/>
      <c r="Q16" s="42"/>
      <c r="R16" s="42"/>
      <c r="S16" s="42"/>
      <c r="T16" s="42"/>
      <c r="U16" s="49"/>
      <c r="V16" s="42"/>
      <c r="W16" s="42"/>
      <c r="X16" s="42"/>
      <c r="Y16" s="42"/>
      <c r="Z16" s="42"/>
      <c r="AA16" s="42"/>
      <c r="AB16" s="42"/>
      <c r="AC16" s="42"/>
      <c r="AD16" s="42"/>
      <c r="AE16" s="44"/>
      <c r="AF16" s="42"/>
      <c r="AG16" s="42"/>
      <c r="AH16" s="42"/>
      <c r="AI16" s="42"/>
      <c r="AJ16" s="42"/>
      <c r="AK16" s="42"/>
      <c r="AL16" s="42"/>
      <c r="AM16" s="42"/>
      <c r="AN16" s="42"/>
      <c r="AO16" s="82"/>
      <c r="AP16" s="42"/>
      <c r="AQ16" s="42"/>
      <c r="AR16" s="42"/>
      <c r="AS16" s="42"/>
      <c r="AT16" s="42"/>
      <c r="AU16" s="42"/>
      <c r="AV16" s="42"/>
      <c r="AW16" s="42"/>
      <c r="AX16" s="42"/>
      <c r="AY16" s="42"/>
    </row>
    <row r="17" spans="2:51" x14ac:dyDescent="0.25">
      <c r="E17" s="32"/>
      <c r="L17" s="4"/>
      <c r="M17" s="42"/>
      <c r="N17" s="42"/>
      <c r="O17" s="43"/>
      <c r="P17" s="42"/>
      <c r="Q17" s="42"/>
      <c r="R17" s="42"/>
      <c r="S17" s="42"/>
      <c r="T17" s="42"/>
      <c r="U17" s="49"/>
      <c r="V17" s="42"/>
      <c r="W17" s="42"/>
      <c r="X17" s="42"/>
      <c r="Y17" s="42"/>
      <c r="Z17" s="42"/>
      <c r="AA17" s="42"/>
      <c r="AB17" s="42"/>
      <c r="AC17" s="42"/>
      <c r="AD17" s="42"/>
      <c r="AE17" s="44"/>
      <c r="AF17" s="42"/>
      <c r="AG17" s="42"/>
      <c r="AH17" s="42"/>
      <c r="AI17" s="42"/>
      <c r="AJ17" s="42"/>
      <c r="AK17" s="42"/>
      <c r="AL17" s="42"/>
      <c r="AM17" s="42"/>
      <c r="AN17" s="42"/>
      <c r="AO17" s="82"/>
      <c r="AP17" s="42"/>
      <c r="AQ17" s="42"/>
      <c r="AR17" s="42"/>
      <c r="AS17" s="42"/>
      <c r="AT17" s="42"/>
      <c r="AU17" s="42"/>
      <c r="AV17" s="42"/>
      <c r="AW17" s="42"/>
      <c r="AX17" s="42"/>
      <c r="AY17" s="42"/>
    </row>
    <row r="18" spans="2:51" x14ac:dyDescent="0.25">
      <c r="B18" s="1" t="s">
        <v>108</v>
      </c>
      <c r="E18" s="5" t="e">
        <f>+O18</f>
        <v>#REF!</v>
      </c>
      <c r="I18" s="22"/>
      <c r="J18" s="30"/>
      <c r="K18" s="63"/>
      <c r="L18" s="4" t="s">
        <v>109</v>
      </c>
      <c r="M18" s="42" t="e">
        <f>SUM(O18:AU18)</f>
        <v>#REF!</v>
      </c>
      <c r="N18" s="42" t="e">
        <f>O18+(NPV($B$7,Q18:AU18)+P18)</f>
        <v>#REF!</v>
      </c>
      <c r="O18" s="43" t="e">
        <f>-SUM('Tab 4 - Balance'!#REF!)*1000</f>
        <v>#REF!</v>
      </c>
      <c r="P18" s="40" t="e">
        <f>#REF!*1000</f>
        <v>#REF!</v>
      </c>
      <c r="Q18" s="40" t="e">
        <f>#REF!*1000</f>
        <v>#REF!</v>
      </c>
      <c r="R18" s="40" t="e">
        <f>#REF!*1000</f>
        <v>#REF!</v>
      </c>
      <c r="S18" s="40" t="e">
        <f>#REF!*1000</f>
        <v>#REF!</v>
      </c>
      <c r="T18" s="40" t="e">
        <f>#REF!*1000</f>
        <v>#REF!</v>
      </c>
      <c r="U18" s="40" t="e">
        <f>#REF!*1000</f>
        <v>#REF!</v>
      </c>
      <c r="V18" s="40" t="e">
        <f>#REF!*1000</f>
        <v>#REF!</v>
      </c>
      <c r="W18" s="40" t="e">
        <f>#REF!*1000</f>
        <v>#REF!</v>
      </c>
      <c r="X18" s="40" t="e">
        <f>#REF!*1000</f>
        <v>#REF!</v>
      </c>
      <c r="Y18" s="40" t="e">
        <f>#REF!*1000</f>
        <v>#REF!</v>
      </c>
      <c r="Z18" s="40" t="e">
        <f>#REF!*1000</f>
        <v>#REF!</v>
      </c>
      <c r="AA18" s="40" t="e">
        <f>#REF!*1000</f>
        <v>#REF!</v>
      </c>
      <c r="AB18" s="40" t="e">
        <f>#REF!*1000</f>
        <v>#REF!</v>
      </c>
      <c r="AC18" s="40" t="e">
        <f>#REF!*1000</f>
        <v>#REF!</v>
      </c>
      <c r="AD18" s="40" t="e">
        <f>#REF!*1000</f>
        <v>#REF!</v>
      </c>
      <c r="AE18" s="40" t="e">
        <f>#REF!*1000</f>
        <v>#REF!</v>
      </c>
      <c r="AF18" s="40" t="e">
        <f>#REF!*1000</f>
        <v>#REF!</v>
      </c>
      <c r="AG18" s="40" t="e">
        <f>#REF!*1000</f>
        <v>#REF!</v>
      </c>
      <c r="AH18" s="40" t="e">
        <f>#REF!*1000</f>
        <v>#REF!</v>
      </c>
      <c r="AI18" s="40" t="e">
        <f>#REF!*1000</f>
        <v>#REF!</v>
      </c>
      <c r="AJ18" s="40" t="e">
        <f>#REF!*1000</f>
        <v>#REF!</v>
      </c>
      <c r="AK18" s="40" t="e">
        <f>#REF!*1000</f>
        <v>#REF!</v>
      </c>
      <c r="AL18" s="40" t="e">
        <f>#REF!*1000</f>
        <v>#REF!</v>
      </c>
      <c r="AM18" s="40" t="e">
        <f>#REF!*1000</f>
        <v>#REF!</v>
      </c>
      <c r="AN18" s="40" t="e">
        <f>#REF!*1000</f>
        <v>#REF!</v>
      </c>
      <c r="AO18" s="41" t="e">
        <f>#REF!*1000</f>
        <v>#REF!</v>
      </c>
      <c r="AP18" s="40"/>
      <c r="AQ18" s="40"/>
      <c r="AR18" s="40"/>
      <c r="AS18" s="40"/>
      <c r="AT18" s="40"/>
      <c r="AU18" s="40"/>
      <c r="AV18" s="40"/>
      <c r="AW18" s="40"/>
      <c r="AX18" s="40"/>
      <c r="AY18" s="40"/>
    </row>
    <row r="19" spans="2:51" x14ac:dyDescent="0.25">
      <c r="B19" s="1" t="s">
        <v>110</v>
      </c>
      <c r="E19" s="35" t="e">
        <f>+O19</f>
        <v>#REF!</v>
      </c>
      <c r="I19" s="22"/>
      <c r="J19" s="22"/>
      <c r="K19" s="64"/>
      <c r="L19" s="4" t="s">
        <v>111</v>
      </c>
      <c r="M19" s="45" t="e">
        <f>SUM(O19:AU19)</f>
        <v>#REF!</v>
      </c>
      <c r="N19" s="46" t="e">
        <f>O19+(NPV($B$7,Q19:AU19)+P19)</f>
        <v>#REF!</v>
      </c>
      <c r="O19" s="47" t="e">
        <f>-SUM('Tab 4 - Balance'!#REF!)*1000</f>
        <v>#REF!</v>
      </c>
      <c r="P19" s="40" t="e">
        <f>#REF!*1000</f>
        <v>#REF!</v>
      </c>
      <c r="Q19" s="40" t="e">
        <f>#REF!*1000</f>
        <v>#REF!</v>
      </c>
      <c r="R19" s="40" t="e">
        <f>#REF!*1000</f>
        <v>#REF!</v>
      </c>
      <c r="S19" s="40" t="e">
        <f>#REF!*1000</f>
        <v>#REF!</v>
      </c>
      <c r="T19" s="40" t="e">
        <f>#REF!*1000</f>
        <v>#REF!</v>
      </c>
      <c r="U19" s="40" t="e">
        <f>#REF!*1000</f>
        <v>#REF!</v>
      </c>
      <c r="V19" s="40" t="e">
        <f>#REF!*1000</f>
        <v>#REF!</v>
      </c>
      <c r="W19" s="40" t="e">
        <f>#REF!*1000</f>
        <v>#REF!</v>
      </c>
      <c r="X19" s="40" t="e">
        <f>#REF!*1000</f>
        <v>#REF!</v>
      </c>
      <c r="Y19" s="40" t="e">
        <f>#REF!*1000</f>
        <v>#REF!</v>
      </c>
      <c r="Z19" s="40" t="e">
        <f>#REF!*1000</f>
        <v>#REF!</v>
      </c>
      <c r="AA19" s="40" t="e">
        <f>#REF!*1000</f>
        <v>#REF!</v>
      </c>
      <c r="AB19" s="40" t="e">
        <f>#REF!*1000</f>
        <v>#REF!</v>
      </c>
      <c r="AC19" s="40" t="e">
        <f>#REF!*1000</f>
        <v>#REF!</v>
      </c>
      <c r="AD19" s="40" t="e">
        <f>#REF!*1000</f>
        <v>#REF!</v>
      </c>
      <c r="AE19" s="40" t="e">
        <f>#REF!*1000</f>
        <v>#REF!</v>
      </c>
      <c r="AF19" s="40" t="e">
        <f>#REF!*1000</f>
        <v>#REF!</v>
      </c>
      <c r="AG19" s="40" t="e">
        <f>#REF!*1000</f>
        <v>#REF!</v>
      </c>
      <c r="AH19" s="40" t="e">
        <f>#REF!*1000</f>
        <v>#REF!</v>
      </c>
      <c r="AI19" s="40" t="e">
        <f>#REF!*1000</f>
        <v>#REF!</v>
      </c>
      <c r="AJ19" s="40" t="e">
        <f>#REF!*1000</f>
        <v>#REF!</v>
      </c>
      <c r="AK19" s="40" t="e">
        <f>#REF!*1000</f>
        <v>#REF!</v>
      </c>
      <c r="AL19" s="40" t="e">
        <f>#REF!*1000</f>
        <v>#REF!</v>
      </c>
      <c r="AM19" s="40" t="e">
        <f>#REF!*1000</f>
        <v>#REF!</v>
      </c>
      <c r="AN19" s="40" t="e">
        <f>#REF!*1000</f>
        <v>#REF!</v>
      </c>
      <c r="AO19" s="41" t="e">
        <f>#REF!*1000</f>
        <v>#REF!</v>
      </c>
      <c r="AP19" s="40"/>
      <c r="AQ19" s="40"/>
      <c r="AR19" s="40"/>
      <c r="AS19" s="40"/>
      <c r="AT19" s="40"/>
      <c r="AU19" s="40"/>
      <c r="AV19" s="40"/>
      <c r="AW19" s="40"/>
      <c r="AX19" s="40"/>
      <c r="AY19" s="40"/>
    </row>
    <row r="20" spans="2:51" x14ac:dyDescent="0.25">
      <c r="E20" s="6" t="e">
        <f>SUM(E18:E19)</f>
        <v>#REF!</v>
      </c>
      <c r="I20" s="22"/>
      <c r="J20" s="22"/>
      <c r="K20" s="65"/>
      <c r="L20" s="4" t="s">
        <v>85</v>
      </c>
      <c r="M20" s="42" t="e">
        <f>SUM(M18:M19)</f>
        <v>#REF!</v>
      </c>
      <c r="N20" s="42" t="e">
        <f>SUM(N18:N19)</f>
        <v>#REF!</v>
      </c>
      <c r="O20" s="43" t="e">
        <f>SUM(O18:O19)</f>
        <v>#REF!</v>
      </c>
      <c r="P20" s="40"/>
      <c r="Q20" s="40"/>
      <c r="R20" s="40"/>
      <c r="S20" s="40"/>
      <c r="T20" s="40"/>
      <c r="U20" s="77"/>
      <c r="V20" s="40"/>
      <c r="W20" s="40"/>
      <c r="X20" s="40"/>
      <c r="Y20" s="40"/>
      <c r="Z20" s="40"/>
      <c r="AA20" s="40"/>
      <c r="AB20" s="40"/>
      <c r="AC20" s="40"/>
      <c r="AD20" s="40"/>
      <c r="AE20" s="41"/>
      <c r="AF20" s="40"/>
      <c r="AG20" s="40"/>
      <c r="AH20" s="40"/>
      <c r="AI20" s="40"/>
      <c r="AJ20" s="40"/>
      <c r="AK20" s="40"/>
      <c r="AL20" s="40"/>
      <c r="AM20" s="40"/>
      <c r="AN20" s="40"/>
      <c r="AO20" s="83"/>
      <c r="AP20" s="40"/>
      <c r="AQ20" s="40"/>
      <c r="AR20" s="40"/>
      <c r="AS20" s="40"/>
      <c r="AT20" s="40"/>
      <c r="AU20" s="40"/>
      <c r="AV20" s="40"/>
      <c r="AW20" s="40"/>
      <c r="AX20" s="40"/>
      <c r="AY20" s="40"/>
    </row>
    <row r="21" spans="2:51" x14ac:dyDescent="0.25">
      <c r="E21" s="26"/>
      <c r="I21" s="22"/>
      <c r="J21" s="22"/>
      <c r="K21" s="66"/>
      <c r="L21" s="4"/>
      <c r="M21" s="42"/>
      <c r="N21" s="42"/>
      <c r="O21" s="43"/>
      <c r="P21" s="40"/>
      <c r="Q21" s="40"/>
      <c r="R21" s="40"/>
      <c r="S21" s="40"/>
      <c r="T21" s="40"/>
      <c r="U21" s="77"/>
      <c r="V21" s="40"/>
      <c r="W21" s="40"/>
      <c r="X21" s="40"/>
      <c r="Y21" s="40"/>
      <c r="Z21" s="40"/>
      <c r="AA21" s="40"/>
      <c r="AB21" s="40"/>
      <c r="AC21" s="40"/>
      <c r="AD21" s="40"/>
      <c r="AE21" s="41"/>
      <c r="AF21" s="40"/>
      <c r="AG21" s="40"/>
      <c r="AH21" s="40"/>
      <c r="AI21" s="40"/>
      <c r="AJ21" s="40"/>
      <c r="AK21" s="40"/>
      <c r="AL21" s="40"/>
      <c r="AM21" s="40"/>
      <c r="AN21" s="40"/>
      <c r="AO21" s="83"/>
      <c r="AP21" s="40"/>
      <c r="AQ21" s="40"/>
      <c r="AR21" s="40"/>
      <c r="AS21" s="40"/>
      <c r="AT21" s="40"/>
      <c r="AU21" s="40"/>
      <c r="AV21" s="40"/>
      <c r="AW21" s="40"/>
      <c r="AX21" s="40"/>
      <c r="AY21" s="40"/>
    </row>
    <row r="22" spans="2:51" x14ac:dyDescent="0.25">
      <c r="I22" s="22"/>
      <c r="J22" s="22"/>
      <c r="K22" s="22"/>
      <c r="L22" s="4" t="s">
        <v>112</v>
      </c>
      <c r="M22" s="109" t="e">
        <f>SUM(O22:AT22)</f>
        <v>#REF!</v>
      </c>
      <c r="N22" s="42" t="e">
        <f>SUM(N15,N14)-SUM(N18,N19)</f>
        <v>#REF!</v>
      </c>
      <c r="O22" s="43" t="e">
        <f>SUM(O15,O14)-SUM(O18,O19)</f>
        <v>#REF!</v>
      </c>
      <c r="P22" s="38" t="e">
        <f>SUM(P15,P14)-SUM(P18,P19)</f>
        <v>#REF!</v>
      </c>
      <c r="Q22" s="38" t="e">
        <f t="shared" ref="Q22:AO22" si="5">SUM(Q15,Q14)-SUM(Q18,Q19)</f>
        <v>#REF!</v>
      </c>
      <c r="R22" s="38" t="e">
        <f t="shared" si="5"/>
        <v>#REF!</v>
      </c>
      <c r="S22" s="38" t="e">
        <f t="shared" si="5"/>
        <v>#REF!</v>
      </c>
      <c r="T22" s="38" t="e">
        <f t="shared" si="5"/>
        <v>#REF!</v>
      </c>
      <c r="U22" s="78" t="e">
        <f t="shared" si="5"/>
        <v>#REF!</v>
      </c>
      <c r="V22" s="38" t="e">
        <f t="shared" si="5"/>
        <v>#REF!</v>
      </c>
      <c r="W22" s="38" t="e">
        <f t="shared" si="5"/>
        <v>#REF!</v>
      </c>
      <c r="X22" s="38" t="e">
        <f t="shared" si="5"/>
        <v>#REF!</v>
      </c>
      <c r="Y22" s="38" t="e">
        <f t="shared" si="5"/>
        <v>#REF!</v>
      </c>
      <c r="Z22" s="38" t="e">
        <f t="shared" si="5"/>
        <v>#REF!</v>
      </c>
      <c r="AA22" s="38" t="e">
        <f t="shared" si="5"/>
        <v>#REF!</v>
      </c>
      <c r="AB22" s="38" t="e">
        <f t="shared" si="5"/>
        <v>#REF!</v>
      </c>
      <c r="AC22" s="38" t="e">
        <f t="shared" si="5"/>
        <v>#REF!</v>
      </c>
      <c r="AD22" s="38" t="e">
        <f t="shared" si="5"/>
        <v>#REF!</v>
      </c>
      <c r="AE22" s="39" t="e">
        <f t="shared" si="5"/>
        <v>#REF!</v>
      </c>
      <c r="AF22" s="38" t="e">
        <f t="shared" si="5"/>
        <v>#REF!</v>
      </c>
      <c r="AG22" s="38" t="e">
        <f t="shared" si="5"/>
        <v>#REF!</v>
      </c>
      <c r="AH22" s="38" t="e">
        <f t="shared" si="5"/>
        <v>#REF!</v>
      </c>
      <c r="AI22" s="38" t="e">
        <f t="shared" si="5"/>
        <v>#REF!</v>
      </c>
      <c r="AJ22" s="38" t="e">
        <f t="shared" si="5"/>
        <v>#REF!</v>
      </c>
      <c r="AK22" s="38" t="e">
        <f t="shared" si="5"/>
        <v>#REF!</v>
      </c>
      <c r="AL22" s="38" t="e">
        <f t="shared" si="5"/>
        <v>#REF!</v>
      </c>
      <c r="AM22" s="38" t="e">
        <f t="shared" si="5"/>
        <v>#REF!</v>
      </c>
      <c r="AN22" s="38" t="e">
        <f t="shared" si="5"/>
        <v>#REF!</v>
      </c>
      <c r="AO22" s="84" t="e">
        <f t="shared" si="5"/>
        <v>#REF!</v>
      </c>
      <c r="AP22" s="38"/>
      <c r="AQ22" s="38"/>
      <c r="AR22" s="38"/>
      <c r="AS22" s="38"/>
      <c r="AT22" s="38"/>
      <c r="AU22" s="38"/>
      <c r="AV22" s="38"/>
      <c r="AW22" s="38"/>
      <c r="AX22" s="38"/>
      <c r="AY22" s="38"/>
    </row>
    <row r="23" spans="2:51" x14ac:dyDescent="0.25">
      <c r="L23" s="4" t="s">
        <v>113</v>
      </c>
      <c r="M23" s="38"/>
      <c r="N23" s="42"/>
      <c r="O23" s="43"/>
      <c r="P23" s="40">
        <f>E16-P11</f>
        <v>4033</v>
      </c>
      <c r="Q23" s="40">
        <f t="shared" ref="Q23:AO23" si="6">P23-Q11</f>
        <v>3773</v>
      </c>
      <c r="R23" s="40">
        <f>Q23-R11</f>
        <v>3513</v>
      </c>
      <c r="S23" s="40">
        <f t="shared" si="6"/>
        <v>3253</v>
      </c>
      <c r="T23" s="40">
        <f t="shared" si="6"/>
        <v>2993</v>
      </c>
      <c r="U23" s="77">
        <f t="shared" si="6"/>
        <v>2733</v>
      </c>
      <c r="V23" s="40">
        <f t="shared" si="6"/>
        <v>2473</v>
      </c>
      <c r="W23" s="40">
        <f t="shared" si="6"/>
        <v>2213</v>
      </c>
      <c r="X23" s="40">
        <f t="shared" si="6"/>
        <v>1953</v>
      </c>
      <c r="Y23" s="40">
        <f t="shared" si="6"/>
        <v>1693</v>
      </c>
      <c r="Z23" s="40">
        <f t="shared" si="6"/>
        <v>1433</v>
      </c>
      <c r="AA23" s="40">
        <f t="shared" si="6"/>
        <v>1173</v>
      </c>
      <c r="AB23" s="40">
        <f t="shared" si="6"/>
        <v>913</v>
      </c>
      <c r="AC23" s="40">
        <f t="shared" si="6"/>
        <v>653</v>
      </c>
      <c r="AD23" s="40">
        <f t="shared" si="6"/>
        <v>393</v>
      </c>
      <c r="AE23" s="41">
        <f t="shared" si="6"/>
        <v>133</v>
      </c>
      <c r="AF23" s="40">
        <f t="shared" si="6"/>
        <v>0</v>
      </c>
      <c r="AG23" s="40">
        <f t="shared" si="6"/>
        <v>0</v>
      </c>
      <c r="AH23" s="40">
        <f t="shared" si="6"/>
        <v>0</v>
      </c>
      <c r="AI23" s="40">
        <f t="shared" si="6"/>
        <v>0</v>
      </c>
      <c r="AJ23" s="40">
        <f t="shared" si="6"/>
        <v>0</v>
      </c>
      <c r="AK23" s="40">
        <f t="shared" si="6"/>
        <v>0</v>
      </c>
      <c r="AL23" s="40">
        <f t="shared" si="6"/>
        <v>0</v>
      </c>
      <c r="AM23" s="40">
        <f t="shared" si="6"/>
        <v>0</v>
      </c>
      <c r="AN23" s="40">
        <f t="shared" si="6"/>
        <v>0</v>
      </c>
      <c r="AO23" s="83">
        <f t="shared" si="6"/>
        <v>0</v>
      </c>
      <c r="AP23" s="40"/>
      <c r="AQ23" s="40"/>
      <c r="AR23" s="40"/>
      <c r="AS23" s="40"/>
      <c r="AT23" s="40"/>
      <c r="AU23" s="40"/>
      <c r="AV23" s="40"/>
      <c r="AW23" s="40"/>
      <c r="AX23" s="40"/>
      <c r="AY23" s="40"/>
    </row>
    <row r="24" spans="2:51" x14ac:dyDescent="0.25">
      <c r="C24" s="42"/>
      <c r="E24" s="32"/>
      <c r="L24" s="33"/>
      <c r="M24" s="45"/>
      <c r="N24" s="45"/>
      <c r="O24" s="47"/>
      <c r="P24" s="45"/>
      <c r="Q24" s="45"/>
      <c r="R24" s="45"/>
      <c r="S24" s="45"/>
      <c r="T24" s="45"/>
      <c r="U24" s="79"/>
      <c r="V24" s="45"/>
      <c r="W24" s="45"/>
      <c r="X24" s="45"/>
      <c r="Y24" s="45"/>
      <c r="Z24" s="45"/>
      <c r="AA24" s="45"/>
      <c r="AB24" s="45"/>
      <c r="AC24" s="45"/>
      <c r="AD24" s="45"/>
      <c r="AE24" s="46"/>
      <c r="AF24" s="45"/>
      <c r="AG24" s="45"/>
      <c r="AH24" s="45"/>
      <c r="AI24" s="45"/>
      <c r="AJ24" s="45"/>
      <c r="AK24" s="45"/>
      <c r="AL24" s="45"/>
      <c r="AM24" s="45"/>
      <c r="AN24" s="45"/>
      <c r="AO24" s="85"/>
      <c r="AP24" s="42"/>
      <c r="AQ24" s="42"/>
      <c r="AR24" s="42"/>
      <c r="AS24" s="42"/>
      <c r="AT24" s="42"/>
      <c r="AU24" s="42"/>
      <c r="AV24" s="42"/>
      <c r="AW24" s="42"/>
      <c r="AX24" s="42"/>
      <c r="AY24" s="42"/>
    </row>
    <row r="25" spans="2:51" x14ac:dyDescent="0.25">
      <c r="C25" s="42"/>
      <c r="E25" s="32"/>
      <c r="M25" s="42"/>
      <c r="N25" s="42"/>
      <c r="O25" s="43"/>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82"/>
      <c r="AP25" s="42"/>
      <c r="AQ25" s="42"/>
      <c r="AR25" s="42"/>
      <c r="AS25" s="42"/>
      <c r="AT25" s="42"/>
      <c r="AU25" s="42"/>
      <c r="AV25" s="42"/>
      <c r="AW25" s="42"/>
      <c r="AX25" s="42"/>
      <c r="AY25" s="42"/>
    </row>
    <row r="26" spans="2:51" ht="26.4" x14ac:dyDescent="0.25">
      <c r="C26" s="42"/>
      <c r="L26" s="1" t="s">
        <v>88</v>
      </c>
      <c r="M26" s="42"/>
      <c r="N26" s="48"/>
      <c r="O26" s="7" t="s">
        <v>95</v>
      </c>
      <c r="P26" s="3">
        <f>+P10</f>
        <v>2022</v>
      </c>
      <c r="Q26" s="3">
        <f t="shared" ref="Q26:AO26" si="7">+Q10</f>
        <v>2023</v>
      </c>
      <c r="R26" s="3">
        <f t="shared" si="7"/>
        <v>2024</v>
      </c>
      <c r="S26" s="3">
        <f t="shared" si="7"/>
        <v>2025</v>
      </c>
      <c r="T26" s="3">
        <f t="shared" si="7"/>
        <v>2026</v>
      </c>
      <c r="U26" s="3">
        <f t="shared" si="7"/>
        <v>2027</v>
      </c>
      <c r="V26" s="3">
        <f t="shared" si="7"/>
        <v>2028</v>
      </c>
      <c r="W26" s="3">
        <f t="shared" si="7"/>
        <v>2029</v>
      </c>
      <c r="X26" s="3">
        <f t="shared" si="7"/>
        <v>2030</v>
      </c>
      <c r="Y26" s="3">
        <f t="shared" si="7"/>
        <v>2031</v>
      </c>
      <c r="Z26" s="3">
        <f t="shared" si="7"/>
        <v>2032</v>
      </c>
      <c r="AA26" s="3">
        <f t="shared" si="7"/>
        <v>2033</v>
      </c>
      <c r="AB26" s="3">
        <f t="shared" si="7"/>
        <v>2034</v>
      </c>
      <c r="AC26" s="3">
        <f t="shared" si="7"/>
        <v>2035</v>
      </c>
      <c r="AD26" s="3">
        <f t="shared" si="7"/>
        <v>2036</v>
      </c>
      <c r="AE26" s="3">
        <f t="shared" si="7"/>
        <v>2037</v>
      </c>
      <c r="AF26" s="3">
        <f t="shared" si="7"/>
        <v>2038</v>
      </c>
      <c r="AG26" s="3">
        <f t="shared" si="7"/>
        <v>2039</v>
      </c>
      <c r="AH26" s="3">
        <f t="shared" si="7"/>
        <v>2040</v>
      </c>
      <c r="AI26" s="3">
        <f t="shared" si="7"/>
        <v>2041</v>
      </c>
      <c r="AJ26" s="3">
        <f t="shared" si="7"/>
        <v>2042</v>
      </c>
      <c r="AK26" s="3">
        <f t="shared" si="7"/>
        <v>2043</v>
      </c>
      <c r="AL26" s="3">
        <f t="shared" si="7"/>
        <v>2044</v>
      </c>
      <c r="AM26" s="3">
        <f t="shared" si="7"/>
        <v>2045</v>
      </c>
      <c r="AN26" s="3">
        <f t="shared" si="7"/>
        <v>2046</v>
      </c>
      <c r="AO26" s="86">
        <f t="shared" si="7"/>
        <v>2047</v>
      </c>
      <c r="AP26" s="76"/>
      <c r="AQ26" s="76"/>
      <c r="AR26" s="76"/>
      <c r="AS26" s="76"/>
      <c r="AT26" s="76"/>
      <c r="AU26" s="76"/>
      <c r="AV26" s="76"/>
      <c r="AW26" s="76"/>
      <c r="AX26" s="76"/>
      <c r="AY26" s="76"/>
    </row>
    <row r="27" spans="2:51" x14ac:dyDescent="0.25">
      <c r="L27" s="1" t="s">
        <v>114</v>
      </c>
      <c r="M27" s="42"/>
      <c r="N27" s="48"/>
      <c r="O27" s="43" t="e">
        <f t="shared" ref="O27:AO28" si="8">(O14-O18)/1000</f>
        <v>#REF!</v>
      </c>
      <c r="P27" s="42" t="e">
        <f>(P14-P18)/1000</f>
        <v>#REF!</v>
      </c>
      <c r="Q27" s="42" t="e">
        <f t="shared" si="8"/>
        <v>#REF!</v>
      </c>
      <c r="R27" s="42" t="e">
        <f t="shared" si="8"/>
        <v>#REF!</v>
      </c>
      <c r="S27" s="42" t="e">
        <f t="shared" si="8"/>
        <v>#REF!</v>
      </c>
      <c r="T27" s="42" t="e">
        <f t="shared" si="8"/>
        <v>#REF!</v>
      </c>
      <c r="U27" s="42" t="e">
        <f t="shared" si="8"/>
        <v>#REF!</v>
      </c>
      <c r="V27" s="42" t="e">
        <f t="shared" si="8"/>
        <v>#REF!</v>
      </c>
      <c r="W27" s="42" t="e">
        <f t="shared" si="8"/>
        <v>#REF!</v>
      </c>
      <c r="X27" s="42" t="e">
        <f t="shared" si="8"/>
        <v>#REF!</v>
      </c>
      <c r="Y27" s="42" t="e">
        <f t="shared" si="8"/>
        <v>#REF!</v>
      </c>
      <c r="Z27" s="42" t="e">
        <f t="shared" si="8"/>
        <v>#REF!</v>
      </c>
      <c r="AA27" s="42" t="e">
        <f t="shared" si="8"/>
        <v>#REF!</v>
      </c>
      <c r="AB27" s="42" t="e">
        <f t="shared" si="8"/>
        <v>#REF!</v>
      </c>
      <c r="AC27" s="42" t="e">
        <f t="shared" si="8"/>
        <v>#REF!</v>
      </c>
      <c r="AD27" s="42" t="e">
        <f t="shared" si="8"/>
        <v>#REF!</v>
      </c>
      <c r="AE27" s="42" t="e">
        <f t="shared" si="8"/>
        <v>#REF!</v>
      </c>
      <c r="AF27" s="42" t="e">
        <f t="shared" si="8"/>
        <v>#REF!</v>
      </c>
      <c r="AG27" s="42" t="e">
        <f t="shared" si="8"/>
        <v>#REF!</v>
      </c>
      <c r="AH27" s="42" t="e">
        <f t="shared" si="8"/>
        <v>#REF!</v>
      </c>
      <c r="AI27" s="42" t="e">
        <f t="shared" si="8"/>
        <v>#REF!</v>
      </c>
      <c r="AJ27" s="42" t="e">
        <f t="shared" si="8"/>
        <v>#REF!</v>
      </c>
      <c r="AK27" s="42" t="e">
        <f t="shared" si="8"/>
        <v>#REF!</v>
      </c>
      <c r="AL27" s="42" t="e">
        <f t="shared" si="8"/>
        <v>#REF!</v>
      </c>
      <c r="AM27" s="42" t="e">
        <f t="shared" si="8"/>
        <v>#REF!</v>
      </c>
      <c r="AN27" s="42" t="e">
        <f t="shared" si="8"/>
        <v>#REF!</v>
      </c>
      <c r="AO27" s="82" t="e">
        <f t="shared" si="8"/>
        <v>#REF!</v>
      </c>
      <c r="AP27" s="42"/>
      <c r="AQ27" s="42"/>
      <c r="AR27" s="42"/>
      <c r="AS27" s="42"/>
      <c r="AT27" s="42"/>
      <c r="AU27" s="42"/>
      <c r="AV27" s="42"/>
      <c r="AW27" s="42"/>
      <c r="AX27" s="42"/>
      <c r="AY27" s="42"/>
    </row>
    <row r="28" spans="2:51" x14ac:dyDescent="0.25">
      <c r="L28" s="1" t="s">
        <v>115</v>
      </c>
      <c r="M28" s="42"/>
      <c r="N28" s="42"/>
      <c r="O28" s="47" t="e">
        <f t="shared" si="8"/>
        <v>#REF!</v>
      </c>
      <c r="P28" s="45" t="e">
        <f>(P15-P19)/1000</f>
        <v>#REF!</v>
      </c>
      <c r="Q28" s="45" t="e">
        <f t="shared" si="8"/>
        <v>#REF!</v>
      </c>
      <c r="R28" s="45" t="e">
        <f t="shared" si="8"/>
        <v>#REF!</v>
      </c>
      <c r="S28" s="45" t="e">
        <f t="shared" si="8"/>
        <v>#REF!</v>
      </c>
      <c r="T28" s="45" t="e">
        <f t="shared" si="8"/>
        <v>#REF!</v>
      </c>
      <c r="U28" s="45" t="e">
        <f t="shared" si="8"/>
        <v>#REF!</v>
      </c>
      <c r="V28" s="45" t="e">
        <f t="shared" si="8"/>
        <v>#REF!</v>
      </c>
      <c r="W28" s="45" t="e">
        <f t="shared" si="8"/>
        <v>#REF!</v>
      </c>
      <c r="X28" s="45" t="e">
        <f t="shared" si="8"/>
        <v>#REF!</v>
      </c>
      <c r="Y28" s="45" t="e">
        <f t="shared" si="8"/>
        <v>#REF!</v>
      </c>
      <c r="Z28" s="45" t="e">
        <f t="shared" si="8"/>
        <v>#REF!</v>
      </c>
      <c r="AA28" s="45" t="e">
        <f t="shared" si="8"/>
        <v>#REF!</v>
      </c>
      <c r="AB28" s="45" t="e">
        <f t="shared" si="8"/>
        <v>#REF!</v>
      </c>
      <c r="AC28" s="45" t="e">
        <f t="shared" si="8"/>
        <v>#REF!</v>
      </c>
      <c r="AD28" s="45" t="e">
        <f t="shared" si="8"/>
        <v>#REF!</v>
      </c>
      <c r="AE28" s="45" t="e">
        <f t="shared" si="8"/>
        <v>#REF!</v>
      </c>
      <c r="AF28" s="45" t="e">
        <f t="shared" si="8"/>
        <v>#REF!</v>
      </c>
      <c r="AG28" s="45" t="e">
        <f t="shared" si="8"/>
        <v>#REF!</v>
      </c>
      <c r="AH28" s="45" t="e">
        <f t="shared" si="8"/>
        <v>#REF!</v>
      </c>
      <c r="AI28" s="45" t="e">
        <f t="shared" si="8"/>
        <v>#REF!</v>
      </c>
      <c r="AJ28" s="45" t="e">
        <f t="shared" si="8"/>
        <v>#REF!</v>
      </c>
      <c r="AK28" s="45" t="e">
        <f t="shared" si="8"/>
        <v>#REF!</v>
      </c>
      <c r="AL28" s="45" t="e">
        <f t="shared" si="8"/>
        <v>#REF!</v>
      </c>
      <c r="AM28" s="45" t="e">
        <f t="shared" si="8"/>
        <v>#REF!</v>
      </c>
      <c r="AN28" s="45" t="e">
        <f t="shared" si="8"/>
        <v>#REF!</v>
      </c>
      <c r="AO28" s="85" t="e">
        <f t="shared" si="8"/>
        <v>#REF!</v>
      </c>
      <c r="AP28" s="42"/>
      <c r="AQ28" s="42"/>
      <c r="AR28" s="42"/>
      <c r="AS28" s="42"/>
      <c r="AT28" s="42"/>
      <c r="AU28" s="42"/>
      <c r="AV28" s="42"/>
      <c r="AW28" s="42"/>
      <c r="AX28" s="42"/>
      <c r="AY28" s="42"/>
    </row>
    <row r="29" spans="2:51" x14ac:dyDescent="0.25">
      <c r="M29" s="42"/>
      <c r="N29" s="42"/>
      <c r="O29" s="43" t="e">
        <f>SUM(O27:O28)</f>
        <v>#REF!</v>
      </c>
      <c r="P29" s="42" t="e">
        <f>SUM(P27:P28)</f>
        <v>#REF!</v>
      </c>
      <c r="Q29" s="42" t="e">
        <f t="shared" ref="Q29:AO29" si="9">SUM(Q27:Q28)</f>
        <v>#REF!</v>
      </c>
      <c r="R29" s="42" t="e">
        <f t="shared" si="9"/>
        <v>#REF!</v>
      </c>
      <c r="S29" s="42" t="e">
        <f t="shared" si="9"/>
        <v>#REF!</v>
      </c>
      <c r="T29" s="42" t="e">
        <f t="shared" si="9"/>
        <v>#REF!</v>
      </c>
      <c r="U29" s="42" t="e">
        <f t="shared" si="9"/>
        <v>#REF!</v>
      </c>
      <c r="V29" s="42" t="e">
        <f t="shared" si="9"/>
        <v>#REF!</v>
      </c>
      <c r="W29" s="42" t="e">
        <f t="shared" si="9"/>
        <v>#REF!</v>
      </c>
      <c r="X29" s="42" t="e">
        <f t="shared" si="9"/>
        <v>#REF!</v>
      </c>
      <c r="Y29" s="42" t="e">
        <f t="shared" si="9"/>
        <v>#REF!</v>
      </c>
      <c r="Z29" s="42" t="e">
        <f t="shared" si="9"/>
        <v>#REF!</v>
      </c>
      <c r="AA29" s="42" t="e">
        <f t="shared" si="9"/>
        <v>#REF!</v>
      </c>
      <c r="AB29" s="42" t="e">
        <f t="shared" si="9"/>
        <v>#REF!</v>
      </c>
      <c r="AC29" s="42" t="e">
        <f t="shared" si="9"/>
        <v>#REF!</v>
      </c>
      <c r="AD29" s="42" t="e">
        <f t="shared" si="9"/>
        <v>#REF!</v>
      </c>
      <c r="AE29" s="42" t="e">
        <f t="shared" si="9"/>
        <v>#REF!</v>
      </c>
      <c r="AF29" s="42" t="e">
        <f t="shared" si="9"/>
        <v>#REF!</v>
      </c>
      <c r="AG29" s="42" t="e">
        <f t="shared" si="9"/>
        <v>#REF!</v>
      </c>
      <c r="AH29" s="42" t="e">
        <f t="shared" si="9"/>
        <v>#REF!</v>
      </c>
      <c r="AI29" s="42" t="e">
        <f t="shared" si="9"/>
        <v>#REF!</v>
      </c>
      <c r="AJ29" s="42" t="e">
        <f t="shared" si="9"/>
        <v>#REF!</v>
      </c>
      <c r="AK29" s="42" t="e">
        <f t="shared" si="9"/>
        <v>#REF!</v>
      </c>
      <c r="AL29" s="42" t="e">
        <f t="shared" si="9"/>
        <v>#REF!</v>
      </c>
      <c r="AM29" s="42" t="e">
        <f t="shared" si="9"/>
        <v>#REF!</v>
      </c>
      <c r="AN29" s="42" t="e">
        <f t="shared" si="9"/>
        <v>#REF!</v>
      </c>
      <c r="AO29" s="82" t="e">
        <f t="shared" si="9"/>
        <v>#REF!</v>
      </c>
      <c r="AP29" s="42"/>
      <c r="AQ29" s="42"/>
      <c r="AR29" s="42"/>
      <c r="AS29" s="42"/>
      <c r="AT29" s="42"/>
      <c r="AU29" s="42"/>
      <c r="AV29" s="42"/>
      <c r="AW29" s="42"/>
      <c r="AX29" s="42"/>
      <c r="AY29" s="42"/>
    </row>
    <row r="30" spans="2:51" x14ac:dyDescent="0.25">
      <c r="L30" s="1" t="s">
        <v>90</v>
      </c>
      <c r="M30" s="42"/>
      <c r="N30" s="42"/>
      <c r="O30" s="43"/>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82"/>
      <c r="AP30" s="42"/>
      <c r="AQ30" s="42"/>
      <c r="AR30" s="42"/>
      <c r="AS30" s="42"/>
      <c r="AT30" s="42"/>
      <c r="AU30" s="42"/>
      <c r="AV30" s="42"/>
      <c r="AW30" s="42"/>
      <c r="AX30" s="42"/>
      <c r="AY30" s="42"/>
    </row>
    <row r="31" spans="2:51" x14ac:dyDescent="0.25">
      <c r="L31" s="1" t="str">
        <f>+L27</f>
        <v>Water Linear</v>
      </c>
      <c r="M31" s="42"/>
      <c r="N31" s="42"/>
      <c r="O31" s="43" t="e">
        <f>SUM(M31,O27)</f>
        <v>#REF!</v>
      </c>
      <c r="P31" s="42" t="e">
        <f>SUM($O$27,$P27:P27)</f>
        <v>#REF!</v>
      </c>
      <c r="Q31" s="42" t="e">
        <f>SUM($O$27,$P27:Q27)</f>
        <v>#REF!</v>
      </c>
      <c r="R31" s="42" t="e">
        <f>SUM($O$27,$P27:R27)</f>
        <v>#REF!</v>
      </c>
      <c r="S31" s="42" t="e">
        <f>SUM($O$27,$P27:S27)</f>
        <v>#REF!</v>
      </c>
      <c r="T31" s="42" t="e">
        <f>SUM($O$27,$P27:T27)</f>
        <v>#REF!</v>
      </c>
      <c r="U31" s="42" t="e">
        <f>SUM($O$27,$P27:U27)</f>
        <v>#REF!</v>
      </c>
      <c r="V31" s="42" t="e">
        <f>SUM($O$27,$P27:V27)</f>
        <v>#REF!</v>
      </c>
      <c r="W31" s="42" t="e">
        <f>SUM($O$27,$P27:W27)</f>
        <v>#REF!</v>
      </c>
      <c r="X31" s="42" t="e">
        <f>SUM($O$27,$P27:X27)</f>
        <v>#REF!</v>
      </c>
      <c r="Y31" s="42" t="e">
        <f>SUM($O$27,$P27:Y27)</f>
        <v>#REF!</v>
      </c>
      <c r="Z31" s="42" t="e">
        <f>SUM($O$27,$P27:Z27)</f>
        <v>#REF!</v>
      </c>
      <c r="AA31" s="42" t="e">
        <f>SUM($O$27,$P27:AA27)</f>
        <v>#REF!</v>
      </c>
      <c r="AB31" s="42" t="e">
        <f>SUM($O$27,$P27:AB27)</f>
        <v>#REF!</v>
      </c>
      <c r="AC31" s="42" t="e">
        <f>SUM($O$27,$P27:AC27)</f>
        <v>#REF!</v>
      </c>
      <c r="AD31" s="42" t="e">
        <f>SUM($O$27,$P27:AD27)</f>
        <v>#REF!</v>
      </c>
      <c r="AE31" s="42" t="e">
        <f>SUM($O$27,$P27:AE27)</f>
        <v>#REF!</v>
      </c>
      <c r="AF31" s="42" t="e">
        <f>SUM($O$27,$P27:AF27)</f>
        <v>#REF!</v>
      </c>
      <c r="AG31" s="42" t="e">
        <f>SUM($O$27,$P27:AG27)</f>
        <v>#REF!</v>
      </c>
      <c r="AH31" s="42" t="e">
        <f>SUM($O$27,$P27:AH27)</f>
        <v>#REF!</v>
      </c>
      <c r="AI31" s="42" t="e">
        <f>SUM($O$27,$P27:AI27)</f>
        <v>#REF!</v>
      </c>
      <c r="AJ31" s="42" t="e">
        <f>SUM($O$27,$P27:AJ27)</f>
        <v>#REF!</v>
      </c>
      <c r="AK31" s="42" t="e">
        <f>SUM($O$27,$P27:AK27)</f>
        <v>#REF!</v>
      </c>
      <c r="AL31" s="42" t="e">
        <f>SUM($O$27,$P27:AL27)</f>
        <v>#REF!</v>
      </c>
      <c r="AM31" s="42" t="e">
        <f>SUM($O$27,$P27:AM27)</f>
        <v>#REF!</v>
      </c>
      <c r="AN31" s="42" t="e">
        <f>SUM($O$27,$P27:AN27)</f>
        <v>#REF!</v>
      </c>
      <c r="AO31" s="82" t="e">
        <f>SUM($O$27,$P27:AO27)</f>
        <v>#REF!</v>
      </c>
      <c r="AP31" s="42"/>
      <c r="AQ31" s="42"/>
      <c r="AR31" s="42"/>
      <c r="AS31" s="42"/>
      <c r="AT31" s="42"/>
      <c r="AU31" s="42"/>
      <c r="AV31" s="42"/>
      <c r="AW31" s="42"/>
      <c r="AX31" s="42"/>
      <c r="AY31" s="42"/>
    </row>
    <row r="32" spans="2:51" x14ac:dyDescent="0.25">
      <c r="L32" s="1" t="str">
        <f>+L28</f>
        <v>Wastewater Linear</v>
      </c>
      <c r="M32" s="42"/>
      <c r="N32" s="42"/>
      <c r="O32" s="47" t="e">
        <f>SUM(M28,O28)</f>
        <v>#REF!</v>
      </c>
      <c r="P32" s="45" t="e">
        <f>SUM($O$28,$P28:P28)</f>
        <v>#REF!</v>
      </c>
      <c r="Q32" s="45" t="e">
        <f>SUM($O$28,$P28:Q28)</f>
        <v>#REF!</v>
      </c>
      <c r="R32" s="45" t="e">
        <f>SUM($O$28,$P28:R28)</f>
        <v>#REF!</v>
      </c>
      <c r="S32" s="45" t="e">
        <f>SUM($O$28,$P28:S28)</f>
        <v>#REF!</v>
      </c>
      <c r="T32" s="45" t="e">
        <f>SUM($O$28,$P28:T28)</f>
        <v>#REF!</v>
      </c>
      <c r="U32" s="45" t="e">
        <f>SUM($O$28,$P28:U28)</f>
        <v>#REF!</v>
      </c>
      <c r="V32" s="45" t="e">
        <f>SUM($O$28,$P28:V28)</f>
        <v>#REF!</v>
      </c>
      <c r="W32" s="45" t="e">
        <f>SUM($O$28,$P28:W28)</f>
        <v>#REF!</v>
      </c>
      <c r="X32" s="45" t="e">
        <f>SUM($O$28,$P28:X28)</f>
        <v>#REF!</v>
      </c>
      <c r="Y32" s="45" t="e">
        <f>SUM($O$28,$P28:Y28)</f>
        <v>#REF!</v>
      </c>
      <c r="Z32" s="45" t="e">
        <f>SUM($O$28,$P28:Z28)</f>
        <v>#REF!</v>
      </c>
      <c r="AA32" s="45" t="e">
        <f>SUM($O$28,$P28:AA28)</f>
        <v>#REF!</v>
      </c>
      <c r="AB32" s="45" t="e">
        <f>SUM($O$28,$P28:AB28)</f>
        <v>#REF!</v>
      </c>
      <c r="AC32" s="45" t="e">
        <f>SUM($O$28,$P28:AC28)</f>
        <v>#REF!</v>
      </c>
      <c r="AD32" s="45" t="e">
        <f>SUM($O$28,$P28:AD28)</f>
        <v>#REF!</v>
      </c>
      <c r="AE32" s="45" t="e">
        <f>SUM($O$28,$P28:AE28)</f>
        <v>#REF!</v>
      </c>
      <c r="AF32" s="45" t="e">
        <f>SUM($O$28,$P28:AF28)</f>
        <v>#REF!</v>
      </c>
      <c r="AG32" s="45" t="e">
        <f>SUM($O$28,$P28:AG28)</f>
        <v>#REF!</v>
      </c>
      <c r="AH32" s="45" t="e">
        <f>SUM($O$28,$P28:AH28)</f>
        <v>#REF!</v>
      </c>
      <c r="AI32" s="45" t="e">
        <f>SUM($O$28,$P28:AI28)</f>
        <v>#REF!</v>
      </c>
      <c r="AJ32" s="45" t="e">
        <f>SUM($O$28,$P28:AJ28)</f>
        <v>#REF!</v>
      </c>
      <c r="AK32" s="45" t="e">
        <f>SUM($O$28,$P28:AK28)</f>
        <v>#REF!</v>
      </c>
      <c r="AL32" s="45" t="e">
        <f>SUM($O$28,$P28:AL28)</f>
        <v>#REF!</v>
      </c>
      <c r="AM32" s="45" t="e">
        <f>SUM($O$28,$P28:AM28)</f>
        <v>#REF!</v>
      </c>
      <c r="AN32" s="45" t="e">
        <f>SUM($O$28,$P28:AN28)</f>
        <v>#REF!</v>
      </c>
      <c r="AO32" s="85" t="e">
        <f>SUM($O$28,$P28:AO28)</f>
        <v>#REF!</v>
      </c>
      <c r="AP32" s="42"/>
      <c r="AQ32" s="42"/>
      <c r="AR32" s="42"/>
      <c r="AS32" s="42"/>
      <c r="AT32" s="42"/>
      <c r="AU32" s="42"/>
      <c r="AV32" s="42"/>
      <c r="AW32" s="42"/>
      <c r="AX32" s="42"/>
      <c r="AY32" s="42"/>
    </row>
    <row r="33" spans="1:53" x14ac:dyDescent="0.25">
      <c r="A33" s="22"/>
      <c r="B33" s="22"/>
      <c r="C33" s="22"/>
      <c r="E33" s="22"/>
      <c r="F33" s="22"/>
      <c r="G33" s="22"/>
      <c r="H33" s="22"/>
      <c r="I33" s="22"/>
      <c r="J33" s="22"/>
      <c r="K33" s="22"/>
      <c r="L33" s="22" t="s">
        <v>116</v>
      </c>
      <c r="M33" s="49"/>
      <c r="N33" s="49"/>
      <c r="O33" s="47" t="e">
        <f t="shared" ref="O33:AO33" si="10">SUM(O31:O32)</f>
        <v>#REF!</v>
      </c>
      <c r="P33" s="49" t="e">
        <f t="shared" si="10"/>
        <v>#REF!</v>
      </c>
      <c r="Q33" s="49" t="e">
        <f t="shared" si="10"/>
        <v>#REF!</v>
      </c>
      <c r="R33" s="49" t="e">
        <f t="shared" si="10"/>
        <v>#REF!</v>
      </c>
      <c r="S33" s="49" t="e">
        <f t="shared" si="10"/>
        <v>#REF!</v>
      </c>
      <c r="T33" s="49" t="e">
        <f t="shared" si="10"/>
        <v>#REF!</v>
      </c>
      <c r="U33" s="49" t="e">
        <f t="shared" si="10"/>
        <v>#REF!</v>
      </c>
      <c r="V33" s="49" t="e">
        <f t="shared" si="10"/>
        <v>#REF!</v>
      </c>
      <c r="W33" s="49" t="e">
        <f t="shared" si="10"/>
        <v>#REF!</v>
      </c>
      <c r="X33" s="49" t="e">
        <f t="shared" si="10"/>
        <v>#REF!</v>
      </c>
      <c r="Y33" s="49" t="e">
        <f t="shared" si="10"/>
        <v>#REF!</v>
      </c>
      <c r="Z33" s="49" t="e">
        <f t="shared" si="10"/>
        <v>#REF!</v>
      </c>
      <c r="AA33" s="49" t="e">
        <f t="shared" si="10"/>
        <v>#REF!</v>
      </c>
      <c r="AB33" s="49" t="e">
        <f t="shared" si="10"/>
        <v>#REF!</v>
      </c>
      <c r="AC33" s="49" t="e">
        <f t="shared" si="10"/>
        <v>#REF!</v>
      </c>
      <c r="AD33" s="49" t="e">
        <f t="shared" si="10"/>
        <v>#REF!</v>
      </c>
      <c r="AE33" s="49" t="e">
        <f t="shared" si="10"/>
        <v>#REF!</v>
      </c>
      <c r="AF33" s="49" t="e">
        <f t="shared" si="10"/>
        <v>#REF!</v>
      </c>
      <c r="AG33" s="49" t="e">
        <f t="shared" si="10"/>
        <v>#REF!</v>
      </c>
      <c r="AH33" s="49" t="e">
        <f t="shared" si="10"/>
        <v>#REF!</v>
      </c>
      <c r="AI33" s="49" t="e">
        <f t="shared" si="10"/>
        <v>#REF!</v>
      </c>
      <c r="AJ33" s="49" t="e">
        <f t="shared" si="10"/>
        <v>#REF!</v>
      </c>
      <c r="AK33" s="49" t="e">
        <f t="shared" si="10"/>
        <v>#REF!</v>
      </c>
      <c r="AL33" s="49" t="e">
        <f t="shared" si="10"/>
        <v>#REF!</v>
      </c>
      <c r="AM33" s="49" t="e">
        <f t="shared" si="10"/>
        <v>#REF!</v>
      </c>
      <c r="AN33" s="49" t="e">
        <f t="shared" si="10"/>
        <v>#REF!</v>
      </c>
      <c r="AO33" s="82" t="e">
        <f t="shared" si="10"/>
        <v>#REF!</v>
      </c>
      <c r="AP33" s="49"/>
      <c r="AQ33" s="49"/>
      <c r="AR33" s="49"/>
      <c r="AS33" s="49"/>
      <c r="AT33" s="49"/>
      <c r="AU33" s="49"/>
      <c r="AV33" s="49"/>
      <c r="AW33" s="49"/>
      <c r="AX33" s="49"/>
      <c r="AY33" s="49"/>
      <c r="AZ33" s="22"/>
      <c r="BA33" s="22"/>
    </row>
    <row r="34" spans="1:53" s="22" customFormat="1" x14ac:dyDescent="0.25">
      <c r="A34" s="1"/>
      <c r="B34" s="1"/>
      <c r="C34" s="1"/>
      <c r="E34" s="1"/>
      <c r="F34" s="1"/>
      <c r="G34" s="1"/>
      <c r="H34" s="1"/>
      <c r="I34" s="1"/>
      <c r="J34" s="1"/>
      <c r="K34" s="1"/>
      <c r="L34" s="1"/>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1"/>
      <c r="AV34" s="1"/>
      <c r="AW34" s="1"/>
      <c r="AX34" s="1"/>
      <c r="AY34" s="1"/>
      <c r="AZ34" s="1"/>
      <c r="BA34" s="1"/>
    </row>
    <row r="35" spans="1:53" x14ac:dyDescent="0.25">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row>
    <row r="36" spans="1:53" x14ac:dyDescent="0.25">
      <c r="M36" s="28"/>
    </row>
    <row r="37" spans="1:53" x14ac:dyDescent="0.25">
      <c r="M37" s="36"/>
    </row>
    <row r="38" spans="1:53" x14ac:dyDescent="0.25">
      <c r="AF38" s="2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50B6-106E-46D6-A649-ADABCBF72AA7}">
  <dimension ref="A1:BA38"/>
  <sheetViews>
    <sheetView showGridLines="0" topLeftCell="A19" zoomScale="70" zoomScaleNormal="70" workbookViewId="0">
      <selection activeCell="L37" sqref="L37"/>
    </sheetView>
  </sheetViews>
  <sheetFormatPr defaultColWidth="9.21875" defaultRowHeight="13.2" outlineLevelCol="1" x14ac:dyDescent="0.25"/>
  <cols>
    <col min="1" max="1" width="20.77734375" style="1" customWidth="1"/>
    <col min="2" max="2" width="9.21875" style="1"/>
    <col min="3" max="3" width="14.77734375" style="1" customWidth="1"/>
    <col min="4" max="4" width="5.77734375" style="1" customWidth="1"/>
    <col min="5" max="5" width="17.21875" style="1" bestFit="1" customWidth="1"/>
    <col min="6" max="6" width="9.21875" style="1"/>
    <col min="7" max="8" width="1.5546875" style="1" customWidth="1"/>
    <col min="9" max="9" width="9.21875" style="1"/>
    <col min="10" max="10" width="15.77734375" style="1" customWidth="1"/>
    <col min="11" max="11" width="16" style="1" bestFit="1" customWidth="1"/>
    <col min="12" max="12" width="47.77734375" style="1" bestFit="1" customWidth="1"/>
    <col min="13" max="14" width="15.77734375" style="1" customWidth="1"/>
    <col min="15" max="23" width="14.77734375" style="1" customWidth="1"/>
    <col min="24" max="30" width="14.77734375" style="1" customWidth="1" outlineLevel="1"/>
    <col min="31" max="33" width="14.77734375" style="1" customWidth="1"/>
    <col min="34" max="45" width="14.77734375" style="1" customWidth="1" outlineLevel="1"/>
    <col min="46" max="46" width="14.77734375" style="1" customWidth="1"/>
    <col min="47" max="47" width="10.21875" style="1" bestFit="1" customWidth="1"/>
    <col min="48" max="16384" width="9.21875" style="1"/>
  </cols>
  <sheetData>
    <row r="1" spans="1:51" ht="15.6" x14ac:dyDescent="0.3">
      <c r="A1" s="24" t="s">
        <v>70</v>
      </c>
    </row>
    <row r="2" spans="1:51" x14ac:dyDescent="0.25">
      <c r="A2" s="72" t="s">
        <v>92</v>
      </c>
      <c r="B2" s="73"/>
    </row>
    <row r="3" spans="1:51" x14ac:dyDescent="0.25">
      <c r="A3" s="22" t="s">
        <v>93</v>
      </c>
      <c r="C3" s="22"/>
      <c r="D3" s="22"/>
      <c r="E3" s="22"/>
      <c r="F3" s="22"/>
      <c r="G3" s="22"/>
      <c r="H3" s="22"/>
      <c r="I3" s="22"/>
      <c r="J3" s="22"/>
      <c r="K3" s="22"/>
      <c r="L3" s="22"/>
      <c r="M3" s="22"/>
      <c r="N3" s="22"/>
      <c r="O3" s="22"/>
      <c r="P3" s="22"/>
      <c r="Q3" s="22"/>
      <c r="R3" s="22"/>
      <c r="S3" s="22"/>
      <c r="T3" s="22"/>
      <c r="U3" s="22"/>
      <c r="V3" s="22"/>
    </row>
    <row r="5" spans="1:51" s="22" customFormat="1" x14ac:dyDescent="0.25">
      <c r="P5" s="74"/>
      <c r="Q5" s="74"/>
      <c r="R5" s="74"/>
      <c r="S5" s="74"/>
      <c r="T5" s="74"/>
      <c r="U5" s="74"/>
    </row>
    <row r="6" spans="1:51" x14ac:dyDescent="0.25">
      <c r="P6" s="37"/>
      <c r="Q6" s="37"/>
      <c r="R6" s="37"/>
      <c r="S6" s="37"/>
      <c r="T6" s="37"/>
      <c r="U6" s="37"/>
    </row>
    <row r="7" spans="1:51" x14ac:dyDescent="0.25">
      <c r="A7" s="107" t="s">
        <v>73</v>
      </c>
      <c r="B7" s="108" t="e">
        <f>'Tab 11 - General'!#REF!</f>
        <v>#REF!</v>
      </c>
      <c r="M7" s="28"/>
      <c r="P7" s="37"/>
      <c r="Q7" s="37"/>
      <c r="R7" s="37"/>
      <c r="S7" s="37"/>
      <c r="T7" s="37"/>
      <c r="U7" s="37"/>
    </row>
    <row r="8" spans="1:51" x14ac:dyDescent="0.25">
      <c r="P8" s="62"/>
    </row>
    <row r="9" spans="1:51" x14ac:dyDescent="0.25">
      <c r="A9" s="1" t="s">
        <v>94</v>
      </c>
      <c r="M9" s="61"/>
      <c r="P9" s="61"/>
    </row>
    <row r="10" spans="1:51" ht="26.4" x14ac:dyDescent="0.25">
      <c r="L10" s="29"/>
      <c r="M10" s="3" t="s">
        <v>75</v>
      </c>
      <c r="N10" s="3" t="s">
        <v>76</v>
      </c>
      <c r="O10" s="7" t="s">
        <v>95</v>
      </c>
      <c r="P10" s="3">
        <v>2022</v>
      </c>
      <c r="Q10" s="25">
        <v>2023</v>
      </c>
      <c r="R10" s="25">
        <v>2024</v>
      </c>
      <c r="S10" s="25">
        <v>2025</v>
      </c>
      <c r="T10" s="25">
        <v>2026</v>
      </c>
      <c r="U10" s="25">
        <v>2027</v>
      </c>
      <c r="V10" s="25">
        <v>2028</v>
      </c>
      <c r="W10" s="25">
        <v>2029</v>
      </c>
      <c r="X10" s="25">
        <v>2030</v>
      </c>
      <c r="Y10" s="25">
        <v>2031</v>
      </c>
      <c r="Z10" s="25">
        <v>2032</v>
      </c>
      <c r="AA10" s="25">
        <v>2033</v>
      </c>
      <c r="AB10" s="25">
        <v>2034</v>
      </c>
      <c r="AC10" s="25">
        <v>2035</v>
      </c>
      <c r="AD10" s="25">
        <v>2036</v>
      </c>
      <c r="AE10" s="25">
        <v>2037</v>
      </c>
      <c r="AF10" s="25">
        <v>2038</v>
      </c>
      <c r="AG10" s="25">
        <v>2039</v>
      </c>
      <c r="AH10" s="25">
        <v>2040</v>
      </c>
      <c r="AI10" s="25">
        <v>2041</v>
      </c>
      <c r="AJ10" s="25">
        <v>2042</v>
      </c>
      <c r="AK10" s="25">
        <v>2043</v>
      </c>
      <c r="AL10" s="25">
        <v>2044</v>
      </c>
      <c r="AM10" s="25">
        <v>2045</v>
      </c>
      <c r="AN10" s="25">
        <v>2046</v>
      </c>
      <c r="AO10" s="25">
        <v>2047</v>
      </c>
      <c r="AP10" s="25">
        <v>2048</v>
      </c>
      <c r="AQ10" s="25">
        <v>2049</v>
      </c>
      <c r="AR10" s="25">
        <v>2050</v>
      </c>
      <c r="AS10" s="25">
        <v>2051</v>
      </c>
      <c r="AT10" s="25">
        <v>2052</v>
      </c>
      <c r="AU10" s="25">
        <v>2053</v>
      </c>
      <c r="AV10" s="75"/>
      <c r="AW10" s="75"/>
      <c r="AX10" s="75"/>
      <c r="AY10" s="75"/>
    </row>
    <row r="11" spans="1:51" x14ac:dyDescent="0.25">
      <c r="A11" s="1" t="s">
        <v>96</v>
      </c>
      <c r="K11" s="23" t="s">
        <v>97</v>
      </c>
      <c r="L11" s="4" t="s">
        <v>79</v>
      </c>
      <c r="M11" s="28">
        <f>SUM(P11:AU11)</f>
        <v>4293</v>
      </c>
      <c r="O11" s="34"/>
      <c r="P11" s="2">
        <v>260</v>
      </c>
      <c r="Q11" s="2">
        <v>260</v>
      </c>
      <c r="R11" s="2">
        <v>260</v>
      </c>
      <c r="S11" s="2">
        <v>260</v>
      </c>
      <c r="T11" s="2">
        <v>260</v>
      </c>
      <c r="U11" s="2">
        <v>260</v>
      </c>
      <c r="V11" s="2">
        <v>260</v>
      </c>
      <c r="W11" s="2">
        <v>260</v>
      </c>
      <c r="X11" s="2">
        <v>260</v>
      </c>
      <c r="Y11" s="2">
        <v>260</v>
      </c>
      <c r="Z11" s="2">
        <v>260</v>
      </c>
      <c r="AA11" s="2">
        <v>260</v>
      </c>
      <c r="AB11" s="2">
        <v>260</v>
      </c>
      <c r="AC11" s="2">
        <v>260</v>
      </c>
      <c r="AD11" s="2">
        <v>260</v>
      </c>
      <c r="AE11" s="2">
        <v>260</v>
      </c>
      <c r="AF11" s="2">
        <v>133</v>
      </c>
      <c r="AG11" s="2"/>
      <c r="AH11" s="2"/>
      <c r="AI11" s="2"/>
      <c r="AJ11" s="2"/>
      <c r="AK11" s="2"/>
      <c r="AL11" s="2">
        <v>0</v>
      </c>
      <c r="AM11" s="2">
        <v>0</v>
      </c>
      <c r="AN11" s="2">
        <v>0</v>
      </c>
      <c r="AO11" s="2">
        <v>0</v>
      </c>
      <c r="AP11" s="2">
        <v>0</v>
      </c>
      <c r="AQ11" s="2">
        <v>0</v>
      </c>
      <c r="AR11" s="2">
        <v>0</v>
      </c>
      <c r="AS11" s="2">
        <v>0</v>
      </c>
      <c r="AT11" s="2">
        <v>0</v>
      </c>
      <c r="AU11" s="2">
        <v>0</v>
      </c>
      <c r="AV11" s="2"/>
      <c r="AW11" s="2"/>
      <c r="AX11" s="2"/>
      <c r="AY11" s="2"/>
    </row>
    <row r="12" spans="1:51" x14ac:dyDescent="0.25">
      <c r="A12" s="1" t="s">
        <v>98</v>
      </c>
      <c r="D12" s="1" t="s">
        <v>99</v>
      </c>
      <c r="E12" s="31" t="e">
        <f>+N18</f>
        <v>#REF!</v>
      </c>
      <c r="F12" s="30"/>
      <c r="G12" s="22"/>
      <c r="H12" s="22"/>
      <c r="I12" s="22" t="s">
        <v>100</v>
      </c>
      <c r="J12" s="22"/>
      <c r="K12" s="52" t="e">
        <f>E12/E16</f>
        <v>#REF!</v>
      </c>
      <c r="L12" s="4" t="s">
        <v>101</v>
      </c>
      <c r="M12" s="42"/>
      <c r="N12" s="42"/>
      <c r="O12" s="43"/>
      <c r="P12" s="42" t="e">
        <f>+K12</f>
        <v>#REF!</v>
      </c>
      <c r="Q12" s="42" t="e">
        <f>P12*(1+$B$7)</f>
        <v>#REF!</v>
      </c>
      <c r="R12" s="42" t="e">
        <f>Q12*(1+$B$7)</f>
        <v>#REF!</v>
      </c>
      <c r="S12" s="42" t="e">
        <f t="shared" ref="S12:AN13" si="0">R12*(1+$B$7)</f>
        <v>#REF!</v>
      </c>
      <c r="T12" s="42" t="e">
        <f t="shared" si="0"/>
        <v>#REF!</v>
      </c>
      <c r="U12" s="42" t="e">
        <f t="shared" si="0"/>
        <v>#REF!</v>
      </c>
      <c r="V12" s="42" t="e">
        <f t="shared" si="0"/>
        <v>#REF!</v>
      </c>
      <c r="W12" s="42" t="e">
        <f t="shared" si="0"/>
        <v>#REF!</v>
      </c>
      <c r="X12" s="42" t="e">
        <f t="shared" si="0"/>
        <v>#REF!</v>
      </c>
      <c r="Y12" s="42" t="e">
        <f t="shared" si="0"/>
        <v>#REF!</v>
      </c>
      <c r="Z12" s="42" t="e">
        <f t="shared" si="0"/>
        <v>#REF!</v>
      </c>
      <c r="AA12" s="42" t="e">
        <f t="shared" si="0"/>
        <v>#REF!</v>
      </c>
      <c r="AB12" s="42" t="e">
        <f t="shared" si="0"/>
        <v>#REF!</v>
      </c>
      <c r="AC12" s="42" t="e">
        <f t="shared" si="0"/>
        <v>#REF!</v>
      </c>
      <c r="AD12" s="42" t="e">
        <f t="shared" si="0"/>
        <v>#REF!</v>
      </c>
      <c r="AE12" s="42" t="e">
        <f t="shared" si="0"/>
        <v>#REF!</v>
      </c>
      <c r="AF12" s="42" t="e">
        <f t="shared" si="0"/>
        <v>#REF!</v>
      </c>
      <c r="AG12" s="42" t="e">
        <f t="shared" si="0"/>
        <v>#REF!</v>
      </c>
      <c r="AH12" s="42" t="e">
        <f t="shared" si="0"/>
        <v>#REF!</v>
      </c>
      <c r="AI12" s="42" t="e">
        <f t="shared" si="0"/>
        <v>#REF!</v>
      </c>
      <c r="AJ12" s="42" t="e">
        <f t="shared" si="0"/>
        <v>#REF!</v>
      </c>
      <c r="AK12" s="42" t="e">
        <f t="shared" si="0"/>
        <v>#REF!</v>
      </c>
      <c r="AL12" s="42" t="e">
        <f t="shared" si="0"/>
        <v>#REF!</v>
      </c>
      <c r="AM12" s="42" t="e">
        <f t="shared" si="0"/>
        <v>#REF!</v>
      </c>
      <c r="AN12" s="42" t="e">
        <f t="shared" si="0"/>
        <v>#REF!</v>
      </c>
      <c r="AO12" s="42" t="e">
        <f t="shared" ref="AO12:AO13" si="1">AN12*(1+$B$7)</f>
        <v>#REF!</v>
      </c>
      <c r="AP12" s="42" t="e">
        <f t="shared" ref="AP12:AP13" si="2">AO12*(1+$B$7)</f>
        <v>#REF!</v>
      </c>
      <c r="AQ12" s="42" t="e">
        <f t="shared" ref="AQ12:AQ13" si="3">AP12*(1+$B$7)</f>
        <v>#REF!</v>
      </c>
      <c r="AR12" s="42" t="e">
        <f t="shared" ref="AR12:AR13" si="4">AQ12*(1+$B$7)</f>
        <v>#REF!</v>
      </c>
      <c r="AS12" s="42" t="e">
        <f t="shared" ref="AS12:AS13" si="5">AR12*(1+$B$7)</f>
        <v>#REF!</v>
      </c>
      <c r="AT12" s="42" t="e">
        <f t="shared" ref="AT12:AT13" si="6">AS12*(1+$B$7)</f>
        <v>#REF!</v>
      </c>
      <c r="AU12" s="42" t="e">
        <f t="shared" ref="AU12:AU13" si="7">AT12*(1+$B$7)</f>
        <v>#REF!</v>
      </c>
      <c r="AV12" s="40"/>
      <c r="AW12" s="40"/>
      <c r="AX12" s="40"/>
      <c r="AY12" s="40"/>
    </row>
    <row r="13" spans="1:51" x14ac:dyDescent="0.25">
      <c r="A13" s="1" t="s">
        <v>102</v>
      </c>
      <c r="D13" s="1" t="s">
        <v>99</v>
      </c>
      <c r="E13" s="50" t="e">
        <f>+N19</f>
        <v>#REF!</v>
      </c>
      <c r="F13" s="30"/>
      <c r="G13" s="22"/>
      <c r="H13" s="22"/>
      <c r="I13" s="22" t="s">
        <v>103</v>
      </c>
      <c r="J13" s="22"/>
      <c r="K13" s="52" t="e">
        <f>E13/E16</f>
        <v>#REF!</v>
      </c>
      <c r="L13" s="4" t="s">
        <v>104</v>
      </c>
      <c r="M13" s="42"/>
      <c r="N13" s="42"/>
      <c r="O13" s="43"/>
      <c r="P13" s="42" t="e">
        <f>+K13</f>
        <v>#REF!</v>
      </c>
      <c r="Q13" s="42" t="e">
        <f>P13*(1+$B$7)</f>
        <v>#REF!</v>
      </c>
      <c r="R13" s="42" t="e">
        <f>Q13*(1+$B$7)</f>
        <v>#REF!</v>
      </c>
      <c r="S13" s="42" t="e">
        <f t="shared" si="0"/>
        <v>#REF!</v>
      </c>
      <c r="T13" s="42" t="e">
        <f t="shared" si="0"/>
        <v>#REF!</v>
      </c>
      <c r="U13" s="42" t="e">
        <f t="shared" si="0"/>
        <v>#REF!</v>
      </c>
      <c r="V13" s="42" t="e">
        <f t="shared" si="0"/>
        <v>#REF!</v>
      </c>
      <c r="W13" s="42" t="e">
        <f t="shared" si="0"/>
        <v>#REF!</v>
      </c>
      <c r="X13" s="42" t="e">
        <f t="shared" si="0"/>
        <v>#REF!</v>
      </c>
      <c r="Y13" s="42" t="e">
        <f t="shared" si="0"/>
        <v>#REF!</v>
      </c>
      <c r="Z13" s="42" t="e">
        <f t="shared" si="0"/>
        <v>#REF!</v>
      </c>
      <c r="AA13" s="42" t="e">
        <f t="shared" si="0"/>
        <v>#REF!</v>
      </c>
      <c r="AB13" s="42" t="e">
        <f t="shared" si="0"/>
        <v>#REF!</v>
      </c>
      <c r="AC13" s="42" t="e">
        <f t="shared" si="0"/>
        <v>#REF!</v>
      </c>
      <c r="AD13" s="42" t="e">
        <f t="shared" si="0"/>
        <v>#REF!</v>
      </c>
      <c r="AE13" s="42" t="e">
        <f t="shared" si="0"/>
        <v>#REF!</v>
      </c>
      <c r="AF13" s="42" t="e">
        <f t="shared" si="0"/>
        <v>#REF!</v>
      </c>
      <c r="AG13" s="42" t="e">
        <f t="shared" si="0"/>
        <v>#REF!</v>
      </c>
      <c r="AH13" s="42" t="e">
        <f t="shared" si="0"/>
        <v>#REF!</v>
      </c>
      <c r="AI13" s="42" t="e">
        <f t="shared" si="0"/>
        <v>#REF!</v>
      </c>
      <c r="AJ13" s="42" t="e">
        <f t="shared" si="0"/>
        <v>#REF!</v>
      </c>
      <c r="AK13" s="42" t="e">
        <f t="shared" si="0"/>
        <v>#REF!</v>
      </c>
      <c r="AL13" s="42" t="e">
        <f t="shared" si="0"/>
        <v>#REF!</v>
      </c>
      <c r="AM13" s="42" t="e">
        <f t="shared" si="0"/>
        <v>#REF!</v>
      </c>
      <c r="AN13" s="42" t="e">
        <f t="shared" si="0"/>
        <v>#REF!</v>
      </c>
      <c r="AO13" s="42" t="e">
        <f t="shared" si="1"/>
        <v>#REF!</v>
      </c>
      <c r="AP13" s="42" t="e">
        <f t="shared" si="2"/>
        <v>#REF!</v>
      </c>
      <c r="AQ13" s="42" t="e">
        <f t="shared" si="3"/>
        <v>#REF!</v>
      </c>
      <c r="AR13" s="42" t="e">
        <f t="shared" si="4"/>
        <v>#REF!</v>
      </c>
      <c r="AS13" s="42" t="e">
        <f t="shared" si="5"/>
        <v>#REF!</v>
      </c>
      <c r="AT13" s="42" t="e">
        <f t="shared" si="6"/>
        <v>#REF!</v>
      </c>
      <c r="AU13" s="42" t="e">
        <f t="shared" si="7"/>
        <v>#REF!</v>
      </c>
      <c r="AV13" s="40"/>
      <c r="AW13" s="40"/>
      <c r="AX13" s="40"/>
      <c r="AY13" s="40"/>
    </row>
    <row r="14" spans="1:51" ht="13.8" thickBot="1" x14ac:dyDescent="0.3">
      <c r="E14" s="51" t="e">
        <f>SUM(E12:E13)</f>
        <v>#REF!</v>
      </c>
      <c r="F14" s="22"/>
      <c r="G14" s="22"/>
      <c r="H14" s="22"/>
      <c r="I14" s="22"/>
      <c r="J14" s="8" t="s">
        <v>82</v>
      </c>
      <c r="K14" s="27" t="e">
        <f>SUM(K12:K13)</f>
        <v>#REF!</v>
      </c>
      <c r="L14" s="4" t="s">
        <v>105</v>
      </c>
      <c r="M14" s="42" t="e">
        <f>SUM(P14:AT14)</f>
        <v>#REF!</v>
      </c>
      <c r="N14" s="42" t="e">
        <f>NPV($B$7,Q14:AU14)+P14</f>
        <v>#REF!</v>
      </c>
      <c r="O14" s="43"/>
      <c r="P14" s="42" t="e">
        <f>P11*P12</f>
        <v>#REF!</v>
      </c>
      <c r="Q14" s="42" t="e">
        <f t="shared" ref="Q14:AB14" si="8">Q11*Q12</f>
        <v>#REF!</v>
      </c>
      <c r="R14" s="42" t="e">
        <f t="shared" si="8"/>
        <v>#REF!</v>
      </c>
      <c r="S14" s="42" t="e">
        <f t="shared" si="8"/>
        <v>#REF!</v>
      </c>
      <c r="T14" s="42" t="e">
        <f t="shared" si="8"/>
        <v>#REF!</v>
      </c>
      <c r="U14" s="49" t="e">
        <f t="shared" si="8"/>
        <v>#REF!</v>
      </c>
      <c r="V14" s="42" t="e">
        <f t="shared" si="8"/>
        <v>#REF!</v>
      </c>
      <c r="W14" s="42" t="e">
        <f t="shared" si="8"/>
        <v>#REF!</v>
      </c>
      <c r="X14" s="40" t="e">
        <f t="shared" si="8"/>
        <v>#REF!</v>
      </c>
      <c r="Y14" s="40" t="e">
        <f t="shared" si="8"/>
        <v>#REF!</v>
      </c>
      <c r="Z14" s="40" t="e">
        <f t="shared" si="8"/>
        <v>#REF!</v>
      </c>
      <c r="AA14" s="40" t="e">
        <f t="shared" si="8"/>
        <v>#REF!</v>
      </c>
      <c r="AB14" s="40" t="e">
        <f t="shared" si="8"/>
        <v>#REF!</v>
      </c>
      <c r="AC14" s="40" t="e">
        <f>(AC11*AC12)</f>
        <v>#REF!</v>
      </c>
      <c r="AD14" s="40" t="e">
        <f t="shared" ref="AD14:AN14" si="9">AD11*AD12</f>
        <v>#REF!</v>
      </c>
      <c r="AE14" s="41" t="e">
        <f>AE11*AE12</f>
        <v>#REF!</v>
      </c>
      <c r="AF14" s="40" t="e">
        <f t="shared" si="9"/>
        <v>#REF!</v>
      </c>
      <c r="AG14" s="40" t="e">
        <f t="shared" si="9"/>
        <v>#REF!</v>
      </c>
      <c r="AH14" s="40" t="e">
        <f t="shared" si="9"/>
        <v>#REF!</v>
      </c>
      <c r="AI14" s="40" t="e">
        <f>AI11*AI12</f>
        <v>#REF!</v>
      </c>
      <c r="AJ14" s="40" t="e">
        <f t="shared" si="9"/>
        <v>#REF!</v>
      </c>
      <c r="AK14" s="40" t="e">
        <f t="shared" si="9"/>
        <v>#REF!</v>
      </c>
      <c r="AL14" s="40" t="e">
        <f t="shared" si="9"/>
        <v>#REF!</v>
      </c>
      <c r="AM14" s="40" t="e">
        <f t="shared" si="9"/>
        <v>#REF!</v>
      </c>
      <c r="AN14" s="40" t="e">
        <f t="shared" si="9"/>
        <v>#REF!</v>
      </c>
      <c r="AO14" s="40" t="e">
        <f t="shared" ref="AO14:AU14" si="10">AO11*AO12</f>
        <v>#REF!</v>
      </c>
      <c r="AP14" s="40" t="e">
        <f t="shared" si="10"/>
        <v>#REF!</v>
      </c>
      <c r="AQ14" s="40" t="e">
        <f t="shared" si="10"/>
        <v>#REF!</v>
      </c>
      <c r="AR14" s="40" t="e">
        <f t="shared" si="10"/>
        <v>#REF!</v>
      </c>
      <c r="AS14" s="40" t="e">
        <f t="shared" si="10"/>
        <v>#REF!</v>
      </c>
      <c r="AT14" s="40" t="e">
        <f t="shared" si="10"/>
        <v>#REF!</v>
      </c>
      <c r="AU14" s="40" t="e">
        <f t="shared" si="10"/>
        <v>#REF!</v>
      </c>
      <c r="AV14" s="40"/>
      <c r="AW14" s="40"/>
      <c r="AX14" s="40"/>
      <c r="AY14" s="40"/>
    </row>
    <row r="15" spans="1:51" x14ac:dyDescent="0.25">
      <c r="E15" s="5"/>
      <c r="L15" s="4" t="s">
        <v>106</v>
      </c>
      <c r="M15" s="45" t="e">
        <f>SUM(P15:AT15)</f>
        <v>#REF!</v>
      </c>
      <c r="N15" s="46" t="e">
        <f>NPV($B$7,Q15:AU15)+P15</f>
        <v>#REF!</v>
      </c>
      <c r="O15" s="47"/>
      <c r="P15" s="42" t="e">
        <f t="shared" ref="P15:AN15" si="11">P13*P11</f>
        <v>#REF!</v>
      </c>
      <c r="Q15" s="42" t="e">
        <f t="shared" si="11"/>
        <v>#REF!</v>
      </c>
      <c r="R15" s="42" t="e">
        <f t="shared" si="11"/>
        <v>#REF!</v>
      </c>
      <c r="S15" s="42" t="e">
        <f t="shared" si="11"/>
        <v>#REF!</v>
      </c>
      <c r="T15" s="42" t="e">
        <f t="shared" si="11"/>
        <v>#REF!</v>
      </c>
      <c r="U15" s="49" t="e">
        <f t="shared" si="11"/>
        <v>#REF!</v>
      </c>
      <c r="V15" s="42" t="e">
        <f t="shared" si="11"/>
        <v>#REF!</v>
      </c>
      <c r="W15" s="42" t="e">
        <f t="shared" si="11"/>
        <v>#REF!</v>
      </c>
      <c r="X15" s="40" t="e">
        <f t="shared" si="11"/>
        <v>#REF!</v>
      </c>
      <c r="Y15" s="40" t="e">
        <f t="shared" si="11"/>
        <v>#REF!</v>
      </c>
      <c r="Z15" s="40" t="e">
        <f t="shared" si="11"/>
        <v>#REF!</v>
      </c>
      <c r="AA15" s="40" t="e">
        <f t="shared" si="11"/>
        <v>#REF!</v>
      </c>
      <c r="AB15" s="40" t="e">
        <f t="shared" si="11"/>
        <v>#REF!</v>
      </c>
      <c r="AC15" s="40" t="e">
        <f t="shared" si="11"/>
        <v>#REF!</v>
      </c>
      <c r="AD15" s="40" t="e">
        <f t="shared" si="11"/>
        <v>#REF!</v>
      </c>
      <c r="AE15" s="41" t="e">
        <f t="shared" si="11"/>
        <v>#REF!</v>
      </c>
      <c r="AF15" s="40" t="e">
        <f t="shared" si="11"/>
        <v>#REF!</v>
      </c>
      <c r="AG15" s="40" t="e">
        <f t="shared" si="11"/>
        <v>#REF!</v>
      </c>
      <c r="AH15" s="40" t="e">
        <f t="shared" si="11"/>
        <v>#REF!</v>
      </c>
      <c r="AI15" s="40" t="e">
        <f t="shared" si="11"/>
        <v>#REF!</v>
      </c>
      <c r="AJ15" s="40" t="e">
        <f t="shared" si="11"/>
        <v>#REF!</v>
      </c>
      <c r="AK15" s="40" t="e">
        <f t="shared" si="11"/>
        <v>#REF!</v>
      </c>
      <c r="AL15" s="40" t="e">
        <f t="shared" si="11"/>
        <v>#REF!</v>
      </c>
      <c r="AM15" s="40" t="e">
        <f t="shared" si="11"/>
        <v>#REF!</v>
      </c>
      <c r="AN15" s="40" t="e">
        <f t="shared" si="11"/>
        <v>#REF!</v>
      </c>
      <c r="AO15" s="40" t="e">
        <f t="shared" ref="AO15:AU15" si="12">AO13*AO11</f>
        <v>#REF!</v>
      </c>
      <c r="AP15" s="40" t="e">
        <f t="shared" si="12"/>
        <v>#REF!</v>
      </c>
      <c r="AQ15" s="40" t="e">
        <f t="shared" si="12"/>
        <v>#REF!</v>
      </c>
      <c r="AR15" s="40" t="e">
        <f t="shared" si="12"/>
        <v>#REF!</v>
      </c>
      <c r="AS15" s="40" t="e">
        <f t="shared" si="12"/>
        <v>#REF!</v>
      </c>
      <c r="AT15" s="40" t="e">
        <f t="shared" si="12"/>
        <v>#REF!</v>
      </c>
      <c r="AU15" s="40" t="e">
        <f t="shared" si="12"/>
        <v>#REF!</v>
      </c>
      <c r="AV15" s="40"/>
      <c r="AW15" s="40"/>
      <c r="AX15" s="40"/>
      <c r="AY15" s="40"/>
    </row>
    <row r="16" spans="1:51" x14ac:dyDescent="0.25">
      <c r="A16" s="1" t="s">
        <v>107</v>
      </c>
      <c r="D16" s="1" t="s">
        <v>99</v>
      </c>
      <c r="E16" s="32">
        <f>M11</f>
        <v>4293</v>
      </c>
      <c r="L16" s="4"/>
      <c r="M16" s="42" t="e">
        <f>SUM(M14:M15)</f>
        <v>#REF!</v>
      </c>
      <c r="N16" s="42" t="e">
        <f>SUM(N14:N15)</f>
        <v>#REF!</v>
      </c>
      <c r="O16" s="43"/>
      <c r="P16" s="42"/>
      <c r="Q16" s="42"/>
      <c r="R16" s="42"/>
      <c r="S16" s="42"/>
      <c r="T16" s="42"/>
      <c r="U16" s="49"/>
      <c r="V16" s="42"/>
      <c r="W16" s="42"/>
      <c r="X16" s="42"/>
      <c r="Y16" s="42"/>
      <c r="Z16" s="42"/>
      <c r="AA16" s="42"/>
      <c r="AB16" s="42"/>
      <c r="AC16" s="42"/>
      <c r="AD16" s="42"/>
      <c r="AE16" s="44"/>
      <c r="AF16" s="42"/>
      <c r="AG16" s="42"/>
      <c r="AH16" s="42"/>
      <c r="AI16" s="42"/>
      <c r="AJ16" s="42"/>
      <c r="AK16" s="42"/>
      <c r="AL16" s="42"/>
      <c r="AM16" s="42"/>
      <c r="AN16" s="42"/>
      <c r="AO16" s="42"/>
      <c r="AP16" s="42"/>
      <c r="AQ16" s="42"/>
      <c r="AR16" s="42"/>
      <c r="AS16" s="42"/>
      <c r="AT16" s="42"/>
      <c r="AU16" s="42"/>
      <c r="AV16" s="42"/>
      <c r="AW16" s="42"/>
      <c r="AX16" s="42"/>
      <c r="AY16" s="42"/>
    </row>
    <row r="17" spans="2:51" x14ac:dyDescent="0.25">
      <c r="E17" s="32"/>
      <c r="L17" s="4"/>
      <c r="M17" s="42"/>
      <c r="N17" s="42"/>
      <c r="O17" s="43"/>
      <c r="P17" s="42"/>
      <c r="Q17" s="42"/>
      <c r="R17" s="42"/>
      <c r="S17" s="42"/>
      <c r="T17" s="42"/>
      <c r="U17" s="49"/>
      <c r="V17" s="42"/>
      <c r="W17" s="42"/>
      <c r="X17" s="42"/>
      <c r="Y17" s="42"/>
      <c r="Z17" s="42"/>
      <c r="AA17" s="42"/>
      <c r="AB17" s="42"/>
      <c r="AC17" s="42"/>
      <c r="AD17" s="42"/>
      <c r="AE17" s="44"/>
      <c r="AF17" s="42"/>
      <c r="AG17" s="42"/>
      <c r="AH17" s="42"/>
      <c r="AI17" s="42"/>
      <c r="AJ17" s="42"/>
      <c r="AK17" s="42"/>
      <c r="AL17" s="42"/>
      <c r="AM17" s="42"/>
      <c r="AN17" s="42"/>
      <c r="AO17" s="42"/>
      <c r="AP17" s="42"/>
      <c r="AQ17" s="42"/>
      <c r="AR17" s="42"/>
      <c r="AS17" s="42"/>
      <c r="AT17" s="42"/>
      <c r="AU17" s="42"/>
      <c r="AV17" s="42"/>
      <c r="AW17" s="42"/>
      <c r="AX17" s="42"/>
      <c r="AY17" s="42"/>
    </row>
    <row r="18" spans="2:51" x14ac:dyDescent="0.25">
      <c r="B18" s="1" t="s">
        <v>108</v>
      </c>
      <c r="E18" s="5" t="e">
        <f>+O18</f>
        <v>#REF!</v>
      </c>
      <c r="I18" s="22"/>
      <c r="J18" s="30"/>
      <c r="K18" s="63"/>
      <c r="L18" s="4" t="s">
        <v>109</v>
      </c>
      <c r="M18" s="42" t="e">
        <f>SUM(O18:AU18)</f>
        <v>#REF!</v>
      </c>
      <c r="N18" s="42" t="e">
        <f>O18+(NPV($B$7,Q18:AU18)+P18)</f>
        <v>#REF!</v>
      </c>
      <c r="O18" s="43" t="e">
        <f>-SUM('Tab 4 - Balance'!#REF!)*1000</f>
        <v>#REF!</v>
      </c>
      <c r="P18" s="40" t="e">
        <f>#REF!*1000</f>
        <v>#REF!</v>
      </c>
      <c r="Q18" s="40" t="e">
        <f>#REF!*1000</f>
        <v>#REF!</v>
      </c>
      <c r="R18" s="40" t="e">
        <f>#REF!*1000</f>
        <v>#REF!</v>
      </c>
      <c r="S18" s="40" t="e">
        <f>#REF!*1000</f>
        <v>#REF!</v>
      </c>
      <c r="T18" s="40" t="e">
        <f>#REF!*1000</f>
        <v>#REF!</v>
      </c>
      <c r="U18" s="40" t="e">
        <f>#REF!*1000</f>
        <v>#REF!</v>
      </c>
      <c r="V18" s="40" t="e">
        <f>#REF!*1000</f>
        <v>#REF!</v>
      </c>
      <c r="W18" s="40" t="e">
        <f>#REF!*1000</f>
        <v>#REF!</v>
      </c>
      <c r="X18" s="40" t="e">
        <f>#REF!*1000</f>
        <v>#REF!</v>
      </c>
      <c r="Y18" s="40" t="e">
        <f>#REF!*1000</f>
        <v>#REF!</v>
      </c>
      <c r="Z18" s="40" t="e">
        <f>#REF!*1000</f>
        <v>#REF!</v>
      </c>
      <c r="AA18" s="40" t="e">
        <f>#REF!*1000</f>
        <v>#REF!</v>
      </c>
      <c r="AB18" s="40" t="e">
        <f>#REF!*1000</f>
        <v>#REF!</v>
      </c>
      <c r="AC18" s="40" t="e">
        <f>#REF!*1000</f>
        <v>#REF!</v>
      </c>
      <c r="AD18" s="40" t="e">
        <f>#REF!*1000</f>
        <v>#REF!</v>
      </c>
      <c r="AE18" s="40" t="e">
        <f>#REF!*1000</f>
        <v>#REF!</v>
      </c>
      <c r="AF18" s="40" t="e">
        <f>#REF!*1000</f>
        <v>#REF!</v>
      </c>
      <c r="AG18" s="40" t="e">
        <f>#REF!*1000</f>
        <v>#REF!</v>
      </c>
      <c r="AH18" s="40" t="e">
        <f>#REF!*1000</f>
        <v>#REF!</v>
      </c>
      <c r="AI18" s="40" t="e">
        <f>#REF!*1000</f>
        <v>#REF!</v>
      </c>
      <c r="AJ18" s="40" t="e">
        <f>#REF!*1000</f>
        <v>#REF!</v>
      </c>
      <c r="AK18" s="40" t="e">
        <f>#REF!*1000</f>
        <v>#REF!</v>
      </c>
      <c r="AL18" s="40" t="e">
        <f>#REF!*1000</f>
        <v>#REF!</v>
      </c>
      <c r="AM18" s="40" t="e">
        <f>#REF!*1000</f>
        <v>#REF!</v>
      </c>
      <c r="AN18" s="40" t="e">
        <f>#REF!*1000</f>
        <v>#REF!</v>
      </c>
      <c r="AO18" s="40" t="e">
        <f>#REF!*1000</f>
        <v>#REF!</v>
      </c>
      <c r="AP18" s="40" t="e">
        <f>#REF!*1000</f>
        <v>#REF!</v>
      </c>
      <c r="AQ18" s="40" t="e">
        <f>#REF!*1000</f>
        <v>#REF!</v>
      </c>
      <c r="AR18" s="40" t="e">
        <f>#REF!*1000</f>
        <v>#REF!</v>
      </c>
      <c r="AS18" s="40" t="e">
        <f>#REF!*1000</f>
        <v>#REF!</v>
      </c>
      <c r="AT18" s="40" t="e">
        <f>#REF!*1000</f>
        <v>#REF!</v>
      </c>
      <c r="AU18" s="40" t="e">
        <f>#REF!*1000</f>
        <v>#REF!</v>
      </c>
      <c r="AV18" s="40"/>
      <c r="AW18" s="40"/>
      <c r="AX18" s="40"/>
      <c r="AY18" s="40"/>
    </row>
    <row r="19" spans="2:51" x14ac:dyDescent="0.25">
      <c r="B19" s="1" t="s">
        <v>110</v>
      </c>
      <c r="E19" s="35" t="e">
        <f>+O19</f>
        <v>#REF!</v>
      </c>
      <c r="I19" s="22"/>
      <c r="J19" s="22"/>
      <c r="K19" s="64"/>
      <c r="L19" s="4" t="s">
        <v>111</v>
      </c>
      <c r="M19" s="45" t="e">
        <f>SUM(O19:AU19)</f>
        <v>#REF!</v>
      </c>
      <c r="N19" s="46" t="e">
        <f>O19+(NPV($B$7,Q19:AU19)+P19)</f>
        <v>#REF!</v>
      </c>
      <c r="O19" s="47" t="e">
        <f>-SUM('Tab 4 - Balance'!#REF!)*1000</f>
        <v>#REF!</v>
      </c>
      <c r="P19" s="40" t="e">
        <f>#REF!*1000</f>
        <v>#REF!</v>
      </c>
      <c r="Q19" s="40" t="e">
        <f>#REF!*1000</f>
        <v>#REF!</v>
      </c>
      <c r="R19" s="40" t="e">
        <f>#REF!*1000</f>
        <v>#REF!</v>
      </c>
      <c r="S19" s="40" t="e">
        <f>#REF!*1000</f>
        <v>#REF!</v>
      </c>
      <c r="T19" s="40" t="e">
        <f>#REF!*1000</f>
        <v>#REF!</v>
      </c>
      <c r="U19" s="40" t="e">
        <f>#REF!*1000</f>
        <v>#REF!</v>
      </c>
      <c r="V19" s="40" t="e">
        <f>#REF!*1000</f>
        <v>#REF!</v>
      </c>
      <c r="W19" s="40" t="e">
        <f>#REF!*1000</f>
        <v>#REF!</v>
      </c>
      <c r="X19" s="40" t="e">
        <f>#REF!*1000</f>
        <v>#REF!</v>
      </c>
      <c r="Y19" s="40" t="e">
        <f>#REF!*1000</f>
        <v>#REF!</v>
      </c>
      <c r="Z19" s="40" t="e">
        <f>#REF!*1000</f>
        <v>#REF!</v>
      </c>
      <c r="AA19" s="40" t="e">
        <f>#REF!*1000</f>
        <v>#REF!</v>
      </c>
      <c r="AB19" s="40" t="e">
        <f>#REF!*1000</f>
        <v>#REF!</v>
      </c>
      <c r="AC19" s="40" t="e">
        <f>#REF!*1000</f>
        <v>#REF!</v>
      </c>
      <c r="AD19" s="40" t="e">
        <f>#REF!*1000</f>
        <v>#REF!</v>
      </c>
      <c r="AE19" s="40" t="e">
        <f>#REF!*1000</f>
        <v>#REF!</v>
      </c>
      <c r="AF19" s="40" t="e">
        <f>#REF!*1000</f>
        <v>#REF!</v>
      </c>
      <c r="AG19" s="40" t="e">
        <f>#REF!*1000</f>
        <v>#REF!</v>
      </c>
      <c r="AH19" s="40" t="e">
        <f>#REF!*1000</f>
        <v>#REF!</v>
      </c>
      <c r="AI19" s="40" t="e">
        <f>#REF!*1000</f>
        <v>#REF!</v>
      </c>
      <c r="AJ19" s="40" t="e">
        <f>#REF!*1000</f>
        <v>#REF!</v>
      </c>
      <c r="AK19" s="40" t="e">
        <f>#REF!*1000</f>
        <v>#REF!</v>
      </c>
      <c r="AL19" s="40" t="e">
        <f>#REF!*1000</f>
        <v>#REF!</v>
      </c>
      <c r="AM19" s="40" t="e">
        <f>#REF!*1000</f>
        <v>#REF!</v>
      </c>
      <c r="AN19" s="40" t="e">
        <f>#REF!*1000</f>
        <v>#REF!</v>
      </c>
      <c r="AO19" s="40" t="e">
        <f>#REF!*1000</f>
        <v>#REF!</v>
      </c>
      <c r="AP19" s="40" t="e">
        <f>#REF!*1000</f>
        <v>#REF!</v>
      </c>
      <c r="AQ19" s="40" t="e">
        <f>#REF!*1000</f>
        <v>#REF!</v>
      </c>
      <c r="AR19" s="40" t="e">
        <f>#REF!*1000</f>
        <v>#REF!</v>
      </c>
      <c r="AS19" s="40" t="e">
        <f>#REF!*1000</f>
        <v>#REF!</v>
      </c>
      <c r="AT19" s="40" t="e">
        <f>#REF!*1000</f>
        <v>#REF!</v>
      </c>
      <c r="AU19" s="40" t="e">
        <f>#REF!*1000</f>
        <v>#REF!</v>
      </c>
      <c r="AV19" s="40"/>
      <c r="AW19" s="40"/>
      <c r="AX19" s="40"/>
      <c r="AY19" s="40"/>
    </row>
    <row r="20" spans="2:51" x14ac:dyDescent="0.25">
      <c r="E20" s="6" t="e">
        <f>SUM(E18:E19)</f>
        <v>#REF!</v>
      </c>
      <c r="I20" s="22"/>
      <c r="J20" s="22"/>
      <c r="K20" s="65"/>
      <c r="L20" s="4" t="s">
        <v>85</v>
      </c>
      <c r="M20" s="42" t="e">
        <f>SUM(M18:M19)</f>
        <v>#REF!</v>
      </c>
      <c r="N20" s="42" t="e">
        <f>SUM(N18:N19)</f>
        <v>#REF!</v>
      </c>
      <c r="O20" s="43" t="e">
        <f>SUM(O18:O19)</f>
        <v>#REF!</v>
      </c>
      <c r="P20" s="40"/>
      <c r="Q20" s="40"/>
      <c r="R20" s="40"/>
      <c r="S20" s="40"/>
      <c r="T20" s="40"/>
      <c r="U20" s="77"/>
      <c r="V20" s="40"/>
      <c r="W20" s="40"/>
      <c r="X20" s="40"/>
      <c r="Y20" s="40"/>
      <c r="Z20" s="40"/>
      <c r="AA20" s="40"/>
      <c r="AB20" s="40"/>
      <c r="AC20" s="40"/>
      <c r="AD20" s="40"/>
      <c r="AE20" s="41"/>
      <c r="AF20" s="40"/>
      <c r="AG20" s="40"/>
      <c r="AH20" s="40"/>
      <c r="AI20" s="40"/>
      <c r="AJ20" s="40"/>
      <c r="AK20" s="40"/>
      <c r="AL20" s="40"/>
      <c r="AM20" s="40"/>
      <c r="AN20" s="40"/>
      <c r="AO20" s="40"/>
      <c r="AP20" s="40"/>
      <c r="AQ20" s="40"/>
      <c r="AR20" s="40"/>
      <c r="AS20" s="40"/>
      <c r="AT20" s="40"/>
      <c r="AU20" s="40"/>
      <c r="AV20" s="40"/>
      <c r="AW20" s="40"/>
      <c r="AX20" s="40"/>
      <c r="AY20" s="40"/>
    </row>
    <row r="21" spans="2:51" x14ac:dyDescent="0.25">
      <c r="E21" s="26"/>
      <c r="I21" s="22"/>
      <c r="J21" s="22"/>
      <c r="K21" s="66"/>
      <c r="L21" s="4"/>
      <c r="M21" s="42"/>
      <c r="N21" s="42"/>
      <c r="O21" s="43"/>
      <c r="P21" s="40"/>
      <c r="Q21" s="40"/>
      <c r="R21" s="40"/>
      <c r="S21" s="40"/>
      <c r="T21" s="40"/>
      <c r="U21" s="77"/>
      <c r="V21" s="40"/>
      <c r="W21" s="40"/>
      <c r="X21" s="40"/>
      <c r="Y21" s="40"/>
      <c r="Z21" s="40"/>
      <c r="AA21" s="40"/>
      <c r="AB21" s="40"/>
      <c r="AC21" s="40"/>
      <c r="AD21" s="40"/>
      <c r="AE21" s="41"/>
      <c r="AF21" s="40"/>
      <c r="AG21" s="40"/>
      <c r="AH21" s="40"/>
      <c r="AI21" s="40"/>
      <c r="AJ21" s="40"/>
      <c r="AK21" s="40"/>
      <c r="AL21" s="40"/>
      <c r="AM21" s="40"/>
      <c r="AN21" s="40"/>
      <c r="AO21" s="40"/>
      <c r="AP21" s="40"/>
      <c r="AQ21" s="40"/>
      <c r="AR21" s="40"/>
      <c r="AS21" s="40"/>
      <c r="AT21" s="40"/>
      <c r="AU21" s="40"/>
      <c r="AV21" s="40"/>
      <c r="AW21" s="40"/>
      <c r="AX21" s="40"/>
      <c r="AY21" s="40"/>
    </row>
    <row r="22" spans="2:51" x14ac:dyDescent="0.25">
      <c r="I22" s="22"/>
      <c r="J22" s="22"/>
      <c r="K22" s="22"/>
      <c r="L22" s="4" t="s">
        <v>112</v>
      </c>
      <c r="M22" s="109" t="e">
        <f>SUM(O22:AT22)</f>
        <v>#REF!</v>
      </c>
      <c r="N22" s="42" t="e">
        <f>SUM(N15,N14)-SUM(N18,N19)</f>
        <v>#REF!</v>
      </c>
      <c r="O22" s="43" t="e">
        <f>SUM(O15,O14)-SUM(O18,O19)</f>
        <v>#REF!</v>
      </c>
      <c r="P22" s="38" t="e">
        <f>SUM(P15,P14)-SUM(P18,P19)</f>
        <v>#REF!</v>
      </c>
      <c r="Q22" s="38" t="e">
        <f t="shared" ref="Q22:AM22" si="13">SUM(Q15,Q14)-SUM(Q18,Q19)</f>
        <v>#REF!</v>
      </c>
      <c r="R22" s="38" t="e">
        <f t="shared" si="13"/>
        <v>#REF!</v>
      </c>
      <c r="S22" s="38" t="e">
        <f t="shared" si="13"/>
        <v>#REF!</v>
      </c>
      <c r="T22" s="38" t="e">
        <f t="shared" si="13"/>
        <v>#REF!</v>
      </c>
      <c r="U22" s="78" t="e">
        <f t="shared" si="13"/>
        <v>#REF!</v>
      </c>
      <c r="V22" s="38" t="e">
        <f t="shared" si="13"/>
        <v>#REF!</v>
      </c>
      <c r="W22" s="38" t="e">
        <f t="shared" si="13"/>
        <v>#REF!</v>
      </c>
      <c r="X22" s="38" t="e">
        <f t="shared" si="13"/>
        <v>#REF!</v>
      </c>
      <c r="Y22" s="38" t="e">
        <f t="shared" si="13"/>
        <v>#REF!</v>
      </c>
      <c r="Z22" s="38" t="e">
        <f t="shared" si="13"/>
        <v>#REF!</v>
      </c>
      <c r="AA22" s="38" t="e">
        <f t="shared" si="13"/>
        <v>#REF!</v>
      </c>
      <c r="AB22" s="38" t="e">
        <f t="shared" si="13"/>
        <v>#REF!</v>
      </c>
      <c r="AC22" s="38" t="e">
        <f t="shared" si="13"/>
        <v>#REF!</v>
      </c>
      <c r="AD22" s="38" t="e">
        <f t="shared" si="13"/>
        <v>#REF!</v>
      </c>
      <c r="AE22" s="39" t="e">
        <f t="shared" si="13"/>
        <v>#REF!</v>
      </c>
      <c r="AF22" s="38" t="e">
        <f t="shared" si="13"/>
        <v>#REF!</v>
      </c>
      <c r="AG22" s="38" t="e">
        <f t="shared" si="13"/>
        <v>#REF!</v>
      </c>
      <c r="AH22" s="38" t="e">
        <f t="shared" si="13"/>
        <v>#REF!</v>
      </c>
      <c r="AI22" s="38" t="e">
        <f t="shared" si="13"/>
        <v>#REF!</v>
      </c>
      <c r="AJ22" s="38" t="e">
        <f t="shared" si="13"/>
        <v>#REF!</v>
      </c>
      <c r="AK22" s="38" t="e">
        <f t="shared" si="13"/>
        <v>#REF!</v>
      </c>
      <c r="AL22" s="38" t="e">
        <f t="shared" si="13"/>
        <v>#REF!</v>
      </c>
      <c r="AM22" s="38" t="e">
        <f t="shared" si="13"/>
        <v>#REF!</v>
      </c>
      <c r="AN22" s="38" t="e">
        <f>SUM(AN15,AN14)-SUM(AN18,AN19)</f>
        <v>#REF!</v>
      </c>
      <c r="AO22" s="38" t="e">
        <f t="shared" ref="AO22:AU22" si="14">SUM(AO15,AO14)-SUM(AO18,AO19)</f>
        <v>#REF!</v>
      </c>
      <c r="AP22" s="38" t="e">
        <f t="shared" si="14"/>
        <v>#REF!</v>
      </c>
      <c r="AQ22" s="38" t="e">
        <f t="shared" si="14"/>
        <v>#REF!</v>
      </c>
      <c r="AR22" s="38" t="e">
        <f t="shared" si="14"/>
        <v>#REF!</v>
      </c>
      <c r="AS22" s="38" t="e">
        <f t="shared" si="14"/>
        <v>#REF!</v>
      </c>
      <c r="AT22" s="38" t="e">
        <f t="shared" si="14"/>
        <v>#REF!</v>
      </c>
      <c r="AU22" s="38" t="e">
        <f t="shared" si="14"/>
        <v>#REF!</v>
      </c>
      <c r="AV22" s="38"/>
      <c r="AW22" s="38"/>
      <c r="AX22" s="38"/>
      <c r="AY22" s="38"/>
    </row>
    <row r="23" spans="2:51" x14ac:dyDescent="0.25">
      <c r="L23" s="4" t="s">
        <v>113</v>
      </c>
      <c r="M23" s="38"/>
      <c r="N23" s="42"/>
      <c r="O23" s="43"/>
      <c r="P23" s="40">
        <f>E16-P11</f>
        <v>4033</v>
      </c>
      <c r="Q23" s="40">
        <f t="shared" ref="Q23:AM23" si="15">P23-Q11</f>
        <v>3773</v>
      </c>
      <c r="R23" s="40">
        <f>Q23-R11</f>
        <v>3513</v>
      </c>
      <c r="S23" s="40">
        <f t="shared" si="15"/>
        <v>3253</v>
      </c>
      <c r="T23" s="40">
        <f t="shared" si="15"/>
        <v>2993</v>
      </c>
      <c r="U23" s="77">
        <f t="shared" si="15"/>
        <v>2733</v>
      </c>
      <c r="V23" s="40">
        <f t="shared" si="15"/>
        <v>2473</v>
      </c>
      <c r="W23" s="40">
        <f t="shared" si="15"/>
        <v>2213</v>
      </c>
      <c r="X23" s="40">
        <f t="shared" si="15"/>
        <v>1953</v>
      </c>
      <c r="Y23" s="40">
        <f t="shared" si="15"/>
        <v>1693</v>
      </c>
      <c r="Z23" s="40">
        <f t="shared" si="15"/>
        <v>1433</v>
      </c>
      <c r="AA23" s="40">
        <f t="shared" si="15"/>
        <v>1173</v>
      </c>
      <c r="AB23" s="40">
        <f t="shared" si="15"/>
        <v>913</v>
      </c>
      <c r="AC23" s="40">
        <f t="shared" si="15"/>
        <v>653</v>
      </c>
      <c r="AD23" s="40">
        <f t="shared" si="15"/>
        <v>393</v>
      </c>
      <c r="AE23" s="41">
        <f t="shared" si="15"/>
        <v>133</v>
      </c>
      <c r="AF23" s="40">
        <f t="shared" si="15"/>
        <v>0</v>
      </c>
      <c r="AG23" s="40">
        <f t="shared" si="15"/>
        <v>0</v>
      </c>
      <c r="AH23" s="40">
        <f t="shared" si="15"/>
        <v>0</v>
      </c>
      <c r="AI23" s="40">
        <f t="shared" si="15"/>
        <v>0</v>
      </c>
      <c r="AJ23" s="40">
        <f t="shared" si="15"/>
        <v>0</v>
      </c>
      <c r="AK23" s="40">
        <f t="shared" si="15"/>
        <v>0</v>
      </c>
      <c r="AL23" s="40">
        <f t="shared" si="15"/>
        <v>0</v>
      </c>
      <c r="AM23" s="40">
        <f t="shared" si="15"/>
        <v>0</v>
      </c>
      <c r="AN23" s="40">
        <f>AM23-AN11</f>
        <v>0</v>
      </c>
      <c r="AO23" s="40">
        <f t="shared" ref="AO23:AU23" si="16">AN23-AO11</f>
        <v>0</v>
      </c>
      <c r="AP23" s="40">
        <f t="shared" si="16"/>
        <v>0</v>
      </c>
      <c r="AQ23" s="40">
        <f t="shared" si="16"/>
        <v>0</v>
      </c>
      <c r="AR23" s="40">
        <f t="shared" si="16"/>
        <v>0</v>
      </c>
      <c r="AS23" s="40">
        <f t="shared" si="16"/>
        <v>0</v>
      </c>
      <c r="AT23" s="40">
        <f t="shared" si="16"/>
        <v>0</v>
      </c>
      <c r="AU23" s="40">
        <f t="shared" si="16"/>
        <v>0</v>
      </c>
      <c r="AV23" s="40"/>
      <c r="AW23" s="40"/>
      <c r="AX23" s="40"/>
      <c r="AY23" s="40"/>
    </row>
    <row r="24" spans="2:51" x14ac:dyDescent="0.25">
      <c r="C24" s="42"/>
      <c r="E24" s="32"/>
      <c r="L24" s="33"/>
      <c r="M24" s="45"/>
      <c r="N24" s="45"/>
      <c r="O24" s="47"/>
      <c r="P24" s="45"/>
      <c r="Q24" s="45"/>
      <c r="R24" s="45"/>
      <c r="S24" s="45"/>
      <c r="T24" s="45"/>
      <c r="U24" s="79"/>
      <c r="V24" s="45"/>
      <c r="W24" s="45"/>
      <c r="X24" s="45"/>
      <c r="Y24" s="45"/>
      <c r="Z24" s="45"/>
      <c r="AA24" s="45"/>
      <c r="AB24" s="45"/>
      <c r="AC24" s="45"/>
      <c r="AD24" s="45"/>
      <c r="AE24" s="46"/>
      <c r="AF24" s="45"/>
      <c r="AG24" s="45"/>
      <c r="AH24" s="45"/>
      <c r="AI24" s="45"/>
      <c r="AJ24" s="45"/>
      <c r="AK24" s="45"/>
      <c r="AL24" s="45"/>
      <c r="AM24" s="45"/>
      <c r="AN24" s="45"/>
      <c r="AO24" s="45"/>
      <c r="AP24" s="45"/>
      <c r="AQ24" s="45"/>
      <c r="AR24" s="45"/>
      <c r="AS24" s="45"/>
      <c r="AT24" s="45"/>
      <c r="AU24" s="45"/>
      <c r="AV24" s="42"/>
      <c r="AW24" s="42"/>
      <c r="AX24" s="42"/>
      <c r="AY24" s="42"/>
    </row>
    <row r="25" spans="2:51" x14ac:dyDescent="0.25">
      <c r="C25" s="42"/>
      <c r="E25" s="32"/>
      <c r="M25" s="42"/>
      <c r="N25" s="42"/>
      <c r="O25" s="43"/>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row>
    <row r="26" spans="2:51" ht="26.4" x14ac:dyDescent="0.25">
      <c r="C26" s="42"/>
      <c r="L26" s="1" t="s">
        <v>88</v>
      </c>
      <c r="M26" s="42"/>
      <c r="N26" s="48"/>
      <c r="O26" s="7" t="s">
        <v>95</v>
      </c>
      <c r="P26" s="3">
        <f>+P10</f>
        <v>2022</v>
      </c>
      <c r="Q26" s="3">
        <f t="shared" ref="Q26:AN26" si="17">+Q10</f>
        <v>2023</v>
      </c>
      <c r="R26" s="3">
        <f t="shared" si="17"/>
        <v>2024</v>
      </c>
      <c r="S26" s="3">
        <f t="shared" si="17"/>
        <v>2025</v>
      </c>
      <c r="T26" s="3">
        <f t="shared" si="17"/>
        <v>2026</v>
      </c>
      <c r="U26" s="3">
        <f t="shared" si="17"/>
        <v>2027</v>
      </c>
      <c r="V26" s="3">
        <f t="shared" si="17"/>
        <v>2028</v>
      </c>
      <c r="W26" s="3">
        <f t="shared" si="17"/>
        <v>2029</v>
      </c>
      <c r="X26" s="3">
        <f t="shared" si="17"/>
        <v>2030</v>
      </c>
      <c r="Y26" s="3">
        <f t="shared" si="17"/>
        <v>2031</v>
      </c>
      <c r="Z26" s="3">
        <f t="shared" si="17"/>
        <v>2032</v>
      </c>
      <c r="AA26" s="3">
        <f t="shared" si="17"/>
        <v>2033</v>
      </c>
      <c r="AB26" s="3">
        <f t="shared" si="17"/>
        <v>2034</v>
      </c>
      <c r="AC26" s="3">
        <f t="shared" si="17"/>
        <v>2035</v>
      </c>
      <c r="AD26" s="3">
        <f t="shared" si="17"/>
        <v>2036</v>
      </c>
      <c r="AE26" s="3">
        <f t="shared" si="17"/>
        <v>2037</v>
      </c>
      <c r="AF26" s="3">
        <f t="shared" si="17"/>
        <v>2038</v>
      </c>
      <c r="AG26" s="3">
        <f t="shared" si="17"/>
        <v>2039</v>
      </c>
      <c r="AH26" s="3">
        <f t="shared" si="17"/>
        <v>2040</v>
      </c>
      <c r="AI26" s="3">
        <f t="shared" si="17"/>
        <v>2041</v>
      </c>
      <c r="AJ26" s="3">
        <f t="shared" si="17"/>
        <v>2042</v>
      </c>
      <c r="AK26" s="3">
        <f t="shared" si="17"/>
        <v>2043</v>
      </c>
      <c r="AL26" s="3">
        <f t="shared" si="17"/>
        <v>2044</v>
      </c>
      <c r="AM26" s="3">
        <f t="shared" si="17"/>
        <v>2045</v>
      </c>
      <c r="AN26" s="3">
        <f t="shared" si="17"/>
        <v>2046</v>
      </c>
      <c r="AO26" s="3">
        <f t="shared" ref="AO26:AU26" si="18">+AO10</f>
        <v>2047</v>
      </c>
      <c r="AP26" s="3">
        <f t="shared" si="18"/>
        <v>2048</v>
      </c>
      <c r="AQ26" s="3">
        <f t="shared" si="18"/>
        <v>2049</v>
      </c>
      <c r="AR26" s="3">
        <f t="shared" si="18"/>
        <v>2050</v>
      </c>
      <c r="AS26" s="3">
        <f t="shared" si="18"/>
        <v>2051</v>
      </c>
      <c r="AT26" s="3">
        <f t="shared" si="18"/>
        <v>2052</v>
      </c>
      <c r="AU26" s="3">
        <f t="shared" si="18"/>
        <v>2053</v>
      </c>
      <c r="AV26" s="76"/>
      <c r="AW26" s="76"/>
      <c r="AX26" s="76"/>
      <c r="AY26" s="76"/>
    </row>
    <row r="27" spans="2:51" x14ac:dyDescent="0.25">
      <c r="L27" s="1" t="s">
        <v>114</v>
      </c>
      <c r="M27" s="42"/>
      <c r="N27" s="48"/>
      <c r="O27" s="43" t="e">
        <f t="shared" ref="O27:AN28" si="19">(O14-O18)/1000</f>
        <v>#REF!</v>
      </c>
      <c r="P27" s="42" t="e">
        <f>(P14-P18)/1000</f>
        <v>#REF!</v>
      </c>
      <c r="Q27" s="42" t="e">
        <f t="shared" si="19"/>
        <v>#REF!</v>
      </c>
      <c r="R27" s="42" t="e">
        <f t="shared" si="19"/>
        <v>#REF!</v>
      </c>
      <c r="S27" s="42" t="e">
        <f t="shared" si="19"/>
        <v>#REF!</v>
      </c>
      <c r="T27" s="42" t="e">
        <f t="shared" si="19"/>
        <v>#REF!</v>
      </c>
      <c r="U27" s="42" t="e">
        <f t="shared" si="19"/>
        <v>#REF!</v>
      </c>
      <c r="V27" s="42" t="e">
        <f t="shared" si="19"/>
        <v>#REF!</v>
      </c>
      <c r="W27" s="42" t="e">
        <f t="shared" si="19"/>
        <v>#REF!</v>
      </c>
      <c r="X27" s="42" t="e">
        <f t="shared" si="19"/>
        <v>#REF!</v>
      </c>
      <c r="Y27" s="42" t="e">
        <f t="shared" si="19"/>
        <v>#REF!</v>
      </c>
      <c r="Z27" s="42" t="e">
        <f t="shared" si="19"/>
        <v>#REF!</v>
      </c>
      <c r="AA27" s="42" t="e">
        <f t="shared" si="19"/>
        <v>#REF!</v>
      </c>
      <c r="AB27" s="42" t="e">
        <f t="shared" si="19"/>
        <v>#REF!</v>
      </c>
      <c r="AC27" s="42" t="e">
        <f t="shared" si="19"/>
        <v>#REF!</v>
      </c>
      <c r="AD27" s="42" t="e">
        <f t="shared" si="19"/>
        <v>#REF!</v>
      </c>
      <c r="AE27" s="42" t="e">
        <f t="shared" si="19"/>
        <v>#REF!</v>
      </c>
      <c r="AF27" s="42" t="e">
        <f t="shared" si="19"/>
        <v>#REF!</v>
      </c>
      <c r="AG27" s="42" t="e">
        <f t="shared" si="19"/>
        <v>#REF!</v>
      </c>
      <c r="AH27" s="42" t="e">
        <f t="shared" si="19"/>
        <v>#REF!</v>
      </c>
      <c r="AI27" s="42" t="e">
        <f t="shared" si="19"/>
        <v>#REF!</v>
      </c>
      <c r="AJ27" s="42" t="e">
        <f t="shared" si="19"/>
        <v>#REF!</v>
      </c>
      <c r="AK27" s="42" t="e">
        <f t="shared" si="19"/>
        <v>#REF!</v>
      </c>
      <c r="AL27" s="42" t="e">
        <f t="shared" si="19"/>
        <v>#REF!</v>
      </c>
      <c r="AM27" s="42" t="e">
        <f t="shared" si="19"/>
        <v>#REF!</v>
      </c>
      <c r="AN27" s="42" t="e">
        <f t="shared" si="19"/>
        <v>#REF!</v>
      </c>
      <c r="AO27" s="42" t="e">
        <f t="shared" ref="AO27:AU27" si="20">(AO14-AO18)/1000</f>
        <v>#REF!</v>
      </c>
      <c r="AP27" s="42" t="e">
        <f t="shared" si="20"/>
        <v>#REF!</v>
      </c>
      <c r="AQ27" s="42" t="e">
        <f t="shared" si="20"/>
        <v>#REF!</v>
      </c>
      <c r="AR27" s="42" t="e">
        <f t="shared" si="20"/>
        <v>#REF!</v>
      </c>
      <c r="AS27" s="42" t="e">
        <f t="shared" si="20"/>
        <v>#REF!</v>
      </c>
      <c r="AT27" s="42" t="e">
        <f t="shared" si="20"/>
        <v>#REF!</v>
      </c>
      <c r="AU27" s="42" t="e">
        <f t="shared" si="20"/>
        <v>#REF!</v>
      </c>
      <c r="AV27" s="42"/>
      <c r="AW27" s="42"/>
      <c r="AX27" s="42"/>
      <c r="AY27" s="42"/>
    </row>
    <row r="28" spans="2:51" x14ac:dyDescent="0.25">
      <c r="L28" s="1" t="s">
        <v>115</v>
      </c>
      <c r="M28" s="42"/>
      <c r="N28" s="42"/>
      <c r="O28" s="47" t="e">
        <f t="shared" si="19"/>
        <v>#REF!</v>
      </c>
      <c r="P28" s="45" t="e">
        <f>(P15-P19)/1000</f>
        <v>#REF!</v>
      </c>
      <c r="Q28" s="45" t="e">
        <f t="shared" si="19"/>
        <v>#REF!</v>
      </c>
      <c r="R28" s="45" t="e">
        <f t="shared" si="19"/>
        <v>#REF!</v>
      </c>
      <c r="S28" s="45" t="e">
        <f t="shared" si="19"/>
        <v>#REF!</v>
      </c>
      <c r="T28" s="45" t="e">
        <f t="shared" si="19"/>
        <v>#REF!</v>
      </c>
      <c r="U28" s="45" t="e">
        <f t="shared" si="19"/>
        <v>#REF!</v>
      </c>
      <c r="V28" s="45" t="e">
        <f t="shared" si="19"/>
        <v>#REF!</v>
      </c>
      <c r="W28" s="45" t="e">
        <f t="shared" si="19"/>
        <v>#REF!</v>
      </c>
      <c r="X28" s="45" t="e">
        <f t="shared" si="19"/>
        <v>#REF!</v>
      </c>
      <c r="Y28" s="45" t="e">
        <f t="shared" si="19"/>
        <v>#REF!</v>
      </c>
      <c r="Z28" s="45" t="e">
        <f t="shared" si="19"/>
        <v>#REF!</v>
      </c>
      <c r="AA28" s="45" t="e">
        <f t="shared" si="19"/>
        <v>#REF!</v>
      </c>
      <c r="AB28" s="45" t="e">
        <f t="shared" si="19"/>
        <v>#REF!</v>
      </c>
      <c r="AC28" s="45" t="e">
        <f t="shared" si="19"/>
        <v>#REF!</v>
      </c>
      <c r="AD28" s="45" t="e">
        <f t="shared" si="19"/>
        <v>#REF!</v>
      </c>
      <c r="AE28" s="45" t="e">
        <f t="shared" si="19"/>
        <v>#REF!</v>
      </c>
      <c r="AF28" s="45" t="e">
        <f t="shared" si="19"/>
        <v>#REF!</v>
      </c>
      <c r="AG28" s="45" t="e">
        <f t="shared" si="19"/>
        <v>#REF!</v>
      </c>
      <c r="AH28" s="45" t="e">
        <f t="shared" si="19"/>
        <v>#REF!</v>
      </c>
      <c r="AI28" s="45" t="e">
        <f t="shared" si="19"/>
        <v>#REF!</v>
      </c>
      <c r="AJ28" s="45" t="e">
        <f t="shared" si="19"/>
        <v>#REF!</v>
      </c>
      <c r="AK28" s="45" t="e">
        <f t="shared" si="19"/>
        <v>#REF!</v>
      </c>
      <c r="AL28" s="45" t="e">
        <f t="shared" si="19"/>
        <v>#REF!</v>
      </c>
      <c r="AM28" s="45" t="e">
        <f t="shared" si="19"/>
        <v>#REF!</v>
      </c>
      <c r="AN28" s="45" t="e">
        <f t="shared" si="19"/>
        <v>#REF!</v>
      </c>
      <c r="AO28" s="45" t="e">
        <f t="shared" ref="AO28:AU28" si="21">(AO15-AO19)/1000</f>
        <v>#REF!</v>
      </c>
      <c r="AP28" s="45" t="e">
        <f t="shared" si="21"/>
        <v>#REF!</v>
      </c>
      <c r="AQ28" s="45" t="e">
        <f t="shared" si="21"/>
        <v>#REF!</v>
      </c>
      <c r="AR28" s="45" t="e">
        <f t="shared" si="21"/>
        <v>#REF!</v>
      </c>
      <c r="AS28" s="45" t="e">
        <f t="shared" si="21"/>
        <v>#REF!</v>
      </c>
      <c r="AT28" s="45" t="e">
        <f t="shared" si="21"/>
        <v>#REF!</v>
      </c>
      <c r="AU28" s="45" t="e">
        <f t="shared" si="21"/>
        <v>#REF!</v>
      </c>
      <c r="AV28" s="42"/>
      <c r="AW28" s="42"/>
      <c r="AX28" s="42"/>
      <c r="AY28" s="42"/>
    </row>
    <row r="29" spans="2:51" x14ac:dyDescent="0.25">
      <c r="M29" s="42"/>
      <c r="N29" s="42"/>
      <c r="O29" s="43" t="e">
        <f>SUM(O27:O28)</f>
        <v>#REF!</v>
      </c>
      <c r="P29" s="42" t="e">
        <f>SUM(P27:P28)</f>
        <v>#REF!</v>
      </c>
      <c r="Q29" s="42" t="e">
        <f t="shared" ref="Q29:AN29" si="22">SUM(Q27:Q28)</f>
        <v>#REF!</v>
      </c>
      <c r="R29" s="42" t="e">
        <f t="shared" si="22"/>
        <v>#REF!</v>
      </c>
      <c r="S29" s="42" t="e">
        <f t="shared" si="22"/>
        <v>#REF!</v>
      </c>
      <c r="T29" s="42" t="e">
        <f t="shared" si="22"/>
        <v>#REF!</v>
      </c>
      <c r="U29" s="42" t="e">
        <f t="shared" si="22"/>
        <v>#REF!</v>
      </c>
      <c r="V29" s="42" t="e">
        <f t="shared" si="22"/>
        <v>#REF!</v>
      </c>
      <c r="W29" s="42" t="e">
        <f t="shared" si="22"/>
        <v>#REF!</v>
      </c>
      <c r="X29" s="42" t="e">
        <f t="shared" si="22"/>
        <v>#REF!</v>
      </c>
      <c r="Y29" s="42" t="e">
        <f t="shared" si="22"/>
        <v>#REF!</v>
      </c>
      <c r="Z29" s="42" t="e">
        <f t="shared" si="22"/>
        <v>#REF!</v>
      </c>
      <c r="AA29" s="42" t="e">
        <f t="shared" si="22"/>
        <v>#REF!</v>
      </c>
      <c r="AB29" s="42" t="e">
        <f t="shared" si="22"/>
        <v>#REF!</v>
      </c>
      <c r="AC29" s="42" t="e">
        <f t="shared" si="22"/>
        <v>#REF!</v>
      </c>
      <c r="AD29" s="42" t="e">
        <f t="shared" si="22"/>
        <v>#REF!</v>
      </c>
      <c r="AE29" s="42" t="e">
        <f t="shared" si="22"/>
        <v>#REF!</v>
      </c>
      <c r="AF29" s="42" t="e">
        <f t="shared" si="22"/>
        <v>#REF!</v>
      </c>
      <c r="AG29" s="42" t="e">
        <f t="shared" si="22"/>
        <v>#REF!</v>
      </c>
      <c r="AH29" s="42" t="e">
        <f t="shared" si="22"/>
        <v>#REF!</v>
      </c>
      <c r="AI29" s="42" t="e">
        <f t="shared" si="22"/>
        <v>#REF!</v>
      </c>
      <c r="AJ29" s="42" t="e">
        <f t="shared" si="22"/>
        <v>#REF!</v>
      </c>
      <c r="AK29" s="42" t="e">
        <f t="shared" si="22"/>
        <v>#REF!</v>
      </c>
      <c r="AL29" s="42" t="e">
        <f t="shared" si="22"/>
        <v>#REF!</v>
      </c>
      <c r="AM29" s="42" t="e">
        <f t="shared" si="22"/>
        <v>#REF!</v>
      </c>
      <c r="AN29" s="42" t="e">
        <f t="shared" si="22"/>
        <v>#REF!</v>
      </c>
      <c r="AO29" s="42" t="e">
        <f t="shared" ref="AO29:AU29" si="23">SUM(AO27:AO28)</f>
        <v>#REF!</v>
      </c>
      <c r="AP29" s="42" t="e">
        <f t="shared" si="23"/>
        <v>#REF!</v>
      </c>
      <c r="AQ29" s="42" t="e">
        <f t="shared" si="23"/>
        <v>#REF!</v>
      </c>
      <c r="AR29" s="42" t="e">
        <f t="shared" si="23"/>
        <v>#REF!</v>
      </c>
      <c r="AS29" s="42" t="e">
        <f t="shared" si="23"/>
        <v>#REF!</v>
      </c>
      <c r="AT29" s="42" t="e">
        <f t="shared" si="23"/>
        <v>#REF!</v>
      </c>
      <c r="AU29" s="42" t="e">
        <f t="shared" si="23"/>
        <v>#REF!</v>
      </c>
      <c r="AV29" s="42"/>
      <c r="AW29" s="42"/>
      <c r="AX29" s="42"/>
      <c r="AY29" s="42"/>
    </row>
    <row r="30" spans="2:51" x14ac:dyDescent="0.25">
      <c r="L30" s="1" t="s">
        <v>90</v>
      </c>
      <c r="M30" s="42"/>
      <c r="N30" s="42"/>
      <c r="O30" s="43"/>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row>
    <row r="31" spans="2:51" x14ac:dyDescent="0.25">
      <c r="L31" s="1" t="str">
        <f>+L27</f>
        <v>Water Linear</v>
      </c>
      <c r="M31" s="42"/>
      <c r="N31" s="42"/>
      <c r="O31" s="43" t="e">
        <f>SUM(M31,O27)</f>
        <v>#REF!</v>
      </c>
      <c r="P31" s="42" t="e">
        <f>SUM($O$27,$P27:P27)</f>
        <v>#REF!</v>
      </c>
      <c r="Q31" s="42" t="e">
        <f>SUM($O$27,$P27:Q27)</f>
        <v>#REF!</v>
      </c>
      <c r="R31" s="42" t="e">
        <f>SUM($O$27,$P27:R27)</f>
        <v>#REF!</v>
      </c>
      <c r="S31" s="42" t="e">
        <f>SUM($O$27,$P27:S27)</f>
        <v>#REF!</v>
      </c>
      <c r="T31" s="42" t="e">
        <f>SUM($O$27,$P27:T27)</f>
        <v>#REF!</v>
      </c>
      <c r="U31" s="42" t="e">
        <f>SUM($O$27,$P27:U27)</f>
        <v>#REF!</v>
      </c>
      <c r="V31" s="42" t="e">
        <f>SUM($O$27,$P27:V27)</f>
        <v>#REF!</v>
      </c>
      <c r="W31" s="42" t="e">
        <f>SUM($O$27,$P27:W27)</f>
        <v>#REF!</v>
      </c>
      <c r="X31" s="42" t="e">
        <f>SUM($O$27,$P27:X27)</f>
        <v>#REF!</v>
      </c>
      <c r="Y31" s="42" t="e">
        <f>SUM($O$27,$P27:Y27)</f>
        <v>#REF!</v>
      </c>
      <c r="Z31" s="42" t="e">
        <f>SUM($O$27,$P27:Z27)</f>
        <v>#REF!</v>
      </c>
      <c r="AA31" s="42" t="e">
        <f>SUM($O$27,$P27:AA27)</f>
        <v>#REF!</v>
      </c>
      <c r="AB31" s="42" t="e">
        <f>SUM($O$27,$P27:AB27)</f>
        <v>#REF!</v>
      </c>
      <c r="AC31" s="42" t="e">
        <f>SUM($O$27,$P27:AC27)</f>
        <v>#REF!</v>
      </c>
      <c r="AD31" s="42" t="e">
        <f>SUM($O$27,$P27:AD27)</f>
        <v>#REF!</v>
      </c>
      <c r="AE31" s="42" t="e">
        <f>SUM($O$27,$P27:AE27)</f>
        <v>#REF!</v>
      </c>
      <c r="AF31" s="42" t="e">
        <f>SUM($O$27,$P27:AF27)</f>
        <v>#REF!</v>
      </c>
      <c r="AG31" s="42" t="e">
        <f>SUM($O$27,$P27:AG27)</f>
        <v>#REF!</v>
      </c>
      <c r="AH31" s="42" t="e">
        <f>SUM($O$27,$P27:AH27)</f>
        <v>#REF!</v>
      </c>
      <c r="AI31" s="42" t="e">
        <f>SUM($O$27,$P27:AI27)</f>
        <v>#REF!</v>
      </c>
      <c r="AJ31" s="42" t="e">
        <f>SUM($O$27,$P27:AJ27)</f>
        <v>#REF!</v>
      </c>
      <c r="AK31" s="42" t="e">
        <f>SUM($O$27,$P27:AK27)</f>
        <v>#REF!</v>
      </c>
      <c r="AL31" s="42" t="e">
        <f>SUM($O$27,$P27:AL27)</f>
        <v>#REF!</v>
      </c>
      <c r="AM31" s="42" t="e">
        <f>SUM($O$27,$P27:AM27)</f>
        <v>#REF!</v>
      </c>
      <c r="AN31" s="42" t="e">
        <f>SUM($O$27,$P27:AN27)</f>
        <v>#REF!</v>
      </c>
      <c r="AO31" s="42" t="e">
        <f>SUM($O$27,$P27:AO27)</f>
        <v>#REF!</v>
      </c>
      <c r="AP31" s="42" t="e">
        <f>SUM($O$27,$P27:AP27)</f>
        <v>#REF!</v>
      </c>
      <c r="AQ31" s="42" t="e">
        <f>SUM($O$27,$P27:AQ27)</f>
        <v>#REF!</v>
      </c>
      <c r="AR31" s="42" t="e">
        <f>SUM($O$27,$P27:AR27)</f>
        <v>#REF!</v>
      </c>
      <c r="AS31" s="42" t="e">
        <f>SUM($O$27,$P27:AS27)</f>
        <v>#REF!</v>
      </c>
      <c r="AT31" s="42" t="e">
        <f>SUM($O$27,$P27:AT27)</f>
        <v>#REF!</v>
      </c>
      <c r="AU31" s="42" t="e">
        <f>SUM($O$27,$P27:AU27)</f>
        <v>#REF!</v>
      </c>
      <c r="AV31" s="42"/>
      <c r="AW31" s="42"/>
      <c r="AX31" s="42"/>
      <c r="AY31" s="42"/>
    </row>
    <row r="32" spans="2:51" x14ac:dyDescent="0.25">
      <c r="L32" s="1" t="str">
        <f>+L28</f>
        <v>Wastewater Linear</v>
      </c>
      <c r="M32" s="42"/>
      <c r="N32" s="42"/>
      <c r="O32" s="47" t="e">
        <f>SUM(M28,O28)</f>
        <v>#REF!</v>
      </c>
      <c r="P32" s="45" t="e">
        <f>SUM($O$28,$P28:P28)</f>
        <v>#REF!</v>
      </c>
      <c r="Q32" s="45" t="e">
        <f>SUM($O$28,$P28:Q28)</f>
        <v>#REF!</v>
      </c>
      <c r="R32" s="45" t="e">
        <f>SUM($O$28,$P28:R28)</f>
        <v>#REF!</v>
      </c>
      <c r="S32" s="45" t="e">
        <f>SUM($O$28,$P28:S28)</f>
        <v>#REF!</v>
      </c>
      <c r="T32" s="45" t="e">
        <f>SUM($O$28,$P28:T28)</f>
        <v>#REF!</v>
      </c>
      <c r="U32" s="45" t="e">
        <f>SUM($O$28,$P28:U28)</f>
        <v>#REF!</v>
      </c>
      <c r="V32" s="45" t="e">
        <f>SUM($O$28,$P28:V28)</f>
        <v>#REF!</v>
      </c>
      <c r="W32" s="45" t="e">
        <f>SUM($O$28,$P28:W28)</f>
        <v>#REF!</v>
      </c>
      <c r="X32" s="45" t="e">
        <f>SUM($O$28,$P28:X28)</f>
        <v>#REF!</v>
      </c>
      <c r="Y32" s="45" t="e">
        <f>SUM($O$28,$P28:Y28)</f>
        <v>#REF!</v>
      </c>
      <c r="Z32" s="45" t="e">
        <f>SUM($O$28,$P28:Z28)</f>
        <v>#REF!</v>
      </c>
      <c r="AA32" s="45" t="e">
        <f>SUM($O$28,$P28:AA28)</f>
        <v>#REF!</v>
      </c>
      <c r="AB32" s="45" t="e">
        <f>SUM($O$28,$P28:AB28)</f>
        <v>#REF!</v>
      </c>
      <c r="AC32" s="45" t="e">
        <f>SUM($O$28,$P28:AC28)</f>
        <v>#REF!</v>
      </c>
      <c r="AD32" s="45" t="e">
        <f>SUM($O$28,$P28:AD28)</f>
        <v>#REF!</v>
      </c>
      <c r="AE32" s="45" t="e">
        <f>SUM($O$28,$P28:AE28)</f>
        <v>#REF!</v>
      </c>
      <c r="AF32" s="45" t="e">
        <f>SUM($O$28,$P28:AF28)</f>
        <v>#REF!</v>
      </c>
      <c r="AG32" s="45" t="e">
        <f>SUM($O$28,$P28:AG28)</f>
        <v>#REF!</v>
      </c>
      <c r="AH32" s="45" t="e">
        <f>SUM($O$28,$P28:AH28)</f>
        <v>#REF!</v>
      </c>
      <c r="AI32" s="45" t="e">
        <f>SUM($O$28,$P28:AI28)</f>
        <v>#REF!</v>
      </c>
      <c r="AJ32" s="45" t="e">
        <f>SUM($O$28,$P28:AJ28)</f>
        <v>#REF!</v>
      </c>
      <c r="AK32" s="45" t="e">
        <f>SUM($O$28,$P28:AK28)</f>
        <v>#REF!</v>
      </c>
      <c r="AL32" s="45" t="e">
        <f>SUM($O$28,$P28:AL28)</f>
        <v>#REF!</v>
      </c>
      <c r="AM32" s="45" t="e">
        <f>SUM($O$28,$P28:AM28)</f>
        <v>#REF!</v>
      </c>
      <c r="AN32" s="45" t="e">
        <f>SUM($O$28,$P28:AN28)</f>
        <v>#REF!</v>
      </c>
      <c r="AO32" s="45" t="e">
        <f>SUM($O$28,$P28:AO28)</f>
        <v>#REF!</v>
      </c>
      <c r="AP32" s="45" t="e">
        <f>SUM($O$28,$P28:AP28)</f>
        <v>#REF!</v>
      </c>
      <c r="AQ32" s="45" t="e">
        <f>SUM($O$28,$P28:AQ28)</f>
        <v>#REF!</v>
      </c>
      <c r="AR32" s="45" t="e">
        <f>SUM($O$28,$P28:AR28)</f>
        <v>#REF!</v>
      </c>
      <c r="AS32" s="45" t="e">
        <f>SUM($O$28,$P28:AS28)</f>
        <v>#REF!</v>
      </c>
      <c r="AT32" s="45" t="e">
        <f>SUM($O$28,$P28:AT28)</f>
        <v>#REF!</v>
      </c>
      <c r="AU32" s="45" t="e">
        <f>SUM($O$28,$P28:AU28)</f>
        <v>#REF!</v>
      </c>
      <c r="AV32" s="42"/>
      <c r="AW32" s="42"/>
      <c r="AX32" s="42"/>
      <c r="AY32" s="42"/>
    </row>
    <row r="33" spans="1:53" x14ac:dyDescent="0.25">
      <c r="A33" s="22"/>
      <c r="B33" s="22"/>
      <c r="C33" s="22"/>
      <c r="E33" s="22"/>
      <c r="F33" s="22"/>
      <c r="G33" s="22"/>
      <c r="H33" s="22"/>
      <c r="I33" s="22"/>
      <c r="J33" s="22"/>
      <c r="K33" s="22"/>
      <c r="L33" s="22" t="s">
        <v>116</v>
      </c>
      <c r="M33" s="49"/>
      <c r="N33" s="49"/>
      <c r="O33" s="47" t="e">
        <f t="shared" ref="O33:AN33" si="24">SUM(O31:O32)</f>
        <v>#REF!</v>
      </c>
      <c r="P33" s="49" t="e">
        <f t="shared" si="24"/>
        <v>#REF!</v>
      </c>
      <c r="Q33" s="49" t="e">
        <f t="shared" si="24"/>
        <v>#REF!</v>
      </c>
      <c r="R33" s="49" t="e">
        <f t="shared" si="24"/>
        <v>#REF!</v>
      </c>
      <c r="S33" s="49" t="e">
        <f t="shared" si="24"/>
        <v>#REF!</v>
      </c>
      <c r="T33" s="49" t="e">
        <f t="shared" si="24"/>
        <v>#REF!</v>
      </c>
      <c r="U33" s="49" t="e">
        <f t="shared" si="24"/>
        <v>#REF!</v>
      </c>
      <c r="V33" s="49" t="e">
        <f t="shared" si="24"/>
        <v>#REF!</v>
      </c>
      <c r="W33" s="49" t="e">
        <f t="shared" si="24"/>
        <v>#REF!</v>
      </c>
      <c r="X33" s="49" t="e">
        <f t="shared" si="24"/>
        <v>#REF!</v>
      </c>
      <c r="Y33" s="49" t="e">
        <f t="shared" si="24"/>
        <v>#REF!</v>
      </c>
      <c r="Z33" s="49" t="e">
        <f t="shared" si="24"/>
        <v>#REF!</v>
      </c>
      <c r="AA33" s="49" t="e">
        <f t="shared" si="24"/>
        <v>#REF!</v>
      </c>
      <c r="AB33" s="49" t="e">
        <f t="shared" si="24"/>
        <v>#REF!</v>
      </c>
      <c r="AC33" s="49" t="e">
        <f t="shared" si="24"/>
        <v>#REF!</v>
      </c>
      <c r="AD33" s="49" t="e">
        <f t="shared" si="24"/>
        <v>#REF!</v>
      </c>
      <c r="AE33" s="49" t="e">
        <f t="shared" si="24"/>
        <v>#REF!</v>
      </c>
      <c r="AF33" s="49" t="e">
        <f t="shared" si="24"/>
        <v>#REF!</v>
      </c>
      <c r="AG33" s="49" t="e">
        <f t="shared" si="24"/>
        <v>#REF!</v>
      </c>
      <c r="AH33" s="49" t="e">
        <f t="shared" si="24"/>
        <v>#REF!</v>
      </c>
      <c r="AI33" s="49" t="e">
        <f t="shared" si="24"/>
        <v>#REF!</v>
      </c>
      <c r="AJ33" s="49" t="e">
        <f t="shared" si="24"/>
        <v>#REF!</v>
      </c>
      <c r="AK33" s="49" t="e">
        <f t="shared" si="24"/>
        <v>#REF!</v>
      </c>
      <c r="AL33" s="49" t="e">
        <f t="shared" si="24"/>
        <v>#REF!</v>
      </c>
      <c r="AM33" s="49" t="e">
        <f t="shared" si="24"/>
        <v>#REF!</v>
      </c>
      <c r="AN33" s="49" t="e">
        <f t="shared" si="24"/>
        <v>#REF!</v>
      </c>
      <c r="AO33" s="49" t="e">
        <f t="shared" ref="AO33:AU33" si="25">SUM(AO31:AO32)</f>
        <v>#REF!</v>
      </c>
      <c r="AP33" s="49" t="e">
        <f t="shared" si="25"/>
        <v>#REF!</v>
      </c>
      <c r="AQ33" s="49" t="e">
        <f t="shared" si="25"/>
        <v>#REF!</v>
      </c>
      <c r="AR33" s="49" t="e">
        <f t="shared" si="25"/>
        <v>#REF!</v>
      </c>
      <c r="AS33" s="49" t="e">
        <f t="shared" si="25"/>
        <v>#REF!</v>
      </c>
      <c r="AT33" s="49" t="e">
        <f t="shared" si="25"/>
        <v>#REF!</v>
      </c>
      <c r="AU33" s="49" t="e">
        <f t="shared" si="25"/>
        <v>#REF!</v>
      </c>
      <c r="AV33" s="49"/>
      <c r="AW33" s="49"/>
      <c r="AX33" s="49"/>
      <c r="AY33" s="49"/>
      <c r="AZ33" s="22"/>
      <c r="BA33" s="22"/>
    </row>
    <row r="34" spans="1:53" s="22" customFormat="1" x14ac:dyDescent="0.25">
      <c r="A34" s="1"/>
      <c r="B34" s="1"/>
      <c r="C34" s="1"/>
      <c r="E34" s="1"/>
      <c r="F34" s="1"/>
      <c r="G34" s="1"/>
      <c r="H34" s="1"/>
      <c r="I34" s="1"/>
      <c r="J34" s="1"/>
      <c r="K34" s="1"/>
      <c r="L34" s="1"/>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1"/>
      <c r="AV34" s="1"/>
      <c r="AW34" s="1"/>
      <c r="AX34" s="1"/>
      <c r="AY34" s="1"/>
      <c r="AZ34" s="1"/>
      <c r="BA34" s="1"/>
    </row>
    <row r="35" spans="1:53" x14ac:dyDescent="0.25">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row>
    <row r="36" spans="1:53" x14ac:dyDescent="0.25">
      <c r="M36" s="28"/>
    </row>
    <row r="37" spans="1:53" x14ac:dyDescent="0.25">
      <c r="M37" s="36"/>
    </row>
    <row r="38" spans="1:53" x14ac:dyDescent="0.25">
      <c r="AF38" s="2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2AD5-EF87-417F-AD28-20F641584074}">
  <sheetPr>
    <pageSetUpPr fitToPage="1"/>
  </sheetPr>
  <dimension ref="A1:AT65"/>
  <sheetViews>
    <sheetView showGridLines="0" tabSelected="1" topLeftCell="D17" zoomScale="70" zoomScaleNormal="70" workbookViewId="0"/>
  </sheetViews>
  <sheetFormatPr defaultColWidth="9.21875" defaultRowHeight="13.2" outlineLevelCol="1" x14ac:dyDescent="0.25"/>
  <cols>
    <col min="1" max="1" width="20.77734375" style="1" customWidth="1"/>
    <col min="2" max="2" width="9.21875" style="1"/>
    <col min="3" max="3" width="14.77734375" style="1" customWidth="1"/>
    <col min="4" max="4" width="5.77734375" style="1" customWidth="1"/>
    <col min="5" max="5" width="17.21875" style="1" bestFit="1" customWidth="1"/>
    <col min="6" max="6" width="9.21875" style="1"/>
    <col min="7" max="8" width="1.5546875" style="1" customWidth="1"/>
    <col min="9" max="9" width="9.21875" style="1"/>
    <col min="10" max="10" width="15.77734375" style="1" customWidth="1"/>
    <col min="11" max="11" width="16" style="1" bestFit="1" customWidth="1"/>
    <col min="12" max="12" width="47.77734375" style="1" bestFit="1" customWidth="1"/>
    <col min="13" max="14" width="15.77734375" style="1" customWidth="1"/>
    <col min="15" max="23" width="14.77734375" style="1" customWidth="1"/>
    <col min="24" max="30" width="14.77734375" style="1" customWidth="1" outlineLevel="1"/>
    <col min="31" max="33" width="14.77734375" style="1" customWidth="1"/>
    <col min="34" max="43" width="14.77734375" style="1" customWidth="1" outlineLevel="1"/>
    <col min="44" max="44" width="14.77734375" style="1" customWidth="1"/>
    <col min="45" max="16384" width="9.21875" style="1"/>
  </cols>
  <sheetData>
    <row r="1" spans="1:43" s="22" customFormat="1" ht="15.6" x14ac:dyDescent="0.3">
      <c r="A1" s="177" t="s">
        <v>70</v>
      </c>
    </row>
    <row r="2" spans="1:43" s="22" customFormat="1" x14ac:dyDescent="0.25">
      <c r="A2" s="72" t="s">
        <v>117</v>
      </c>
      <c r="B2" s="73"/>
    </row>
    <row r="3" spans="1:43" s="22" customFormat="1" x14ac:dyDescent="0.25">
      <c r="A3" s="22" t="s">
        <v>118</v>
      </c>
    </row>
    <row r="5" spans="1:43" s="22" customFormat="1" x14ac:dyDescent="0.25">
      <c r="P5" s="74"/>
      <c r="Q5" s="74"/>
      <c r="R5" s="74"/>
      <c r="S5" s="74"/>
      <c r="T5" s="74"/>
      <c r="U5" s="74"/>
    </row>
    <row r="6" spans="1:43" x14ac:dyDescent="0.25">
      <c r="P6" s="37"/>
      <c r="Q6" s="37"/>
      <c r="R6" s="37"/>
      <c r="S6" s="37"/>
      <c r="T6" s="37"/>
      <c r="U6" s="37"/>
    </row>
    <row r="7" spans="1:43" s="22" customFormat="1" x14ac:dyDescent="0.25">
      <c r="A7" s="22" t="s">
        <v>73</v>
      </c>
      <c r="B7" s="30">
        <v>3.5799999999999998E-2</v>
      </c>
      <c r="M7" s="60"/>
      <c r="P7" s="74"/>
      <c r="Q7" s="74"/>
      <c r="R7" s="74"/>
      <c r="S7" s="74"/>
      <c r="T7" s="74"/>
      <c r="U7" s="74"/>
    </row>
    <row r="8" spans="1:43" s="22" customFormat="1" x14ac:dyDescent="0.25">
      <c r="P8" s="178"/>
    </row>
    <row r="9" spans="1:43" s="22" customFormat="1" x14ac:dyDescent="0.25">
      <c r="A9" s="22" t="s">
        <v>74</v>
      </c>
      <c r="M9" s="171"/>
    </row>
    <row r="10" spans="1:43" ht="39.6" x14ac:dyDescent="0.25">
      <c r="K10" s="23" t="s">
        <v>78</v>
      </c>
      <c r="L10" s="29" t="s">
        <v>79</v>
      </c>
      <c r="M10" s="3" t="s">
        <v>75</v>
      </c>
      <c r="N10" s="3" t="s">
        <v>76</v>
      </c>
      <c r="O10" s="7" t="s">
        <v>77</v>
      </c>
      <c r="P10" s="25">
        <v>2024</v>
      </c>
      <c r="Q10" s="3">
        <v>2025</v>
      </c>
      <c r="R10" s="25">
        <v>2026</v>
      </c>
      <c r="S10" s="3">
        <v>2027</v>
      </c>
      <c r="T10" s="25">
        <v>2028</v>
      </c>
      <c r="U10" s="3">
        <v>2029</v>
      </c>
      <c r="V10" s="25">
        <v>2030</v>
      </c>
      <c r="W10" s="3">
        <v>2031</v>
      </c>
      <c r="X10" s="25">
        <v>2032</v>
      </c>
      <c r="Y10" s="3">
        <v>2033</v>
      </c>
      <c r="Z10" s="25">
        <v>2034</v>
      </c>
      <c r="AA10" s="3">
        <v>2035</v>
      </c>
      <c r="AB10" s="25">
        <v>2036</v>
      </c>
      <c r="AC10" s="3">
        <v>2037</v>
      </c>
      <c r="AD10" s="25">
        <v>2038</v>
      </c>
      <c r="AE10" s="3">
        <v>2039</v>
      </c>
      <c r="AF10" s="25">
        <v>2040</v>
      </c>
      <c r="AG10" s="3">
        <v>2041</v>
      </c>
      <c r="AH10" s="25">
        <v>2042</v>
      </c>
      <c r="AI10" s="3">
        <v>2043</v>
      </c>
      <c r="AJ10" s="25">
        <v>2044</v>
      </c>
      <c r="AK10" s="3">
        <v>2045</v>
      </c>
      <c r="AL10" s="25">
        <v>2046</v>
      </c>
      <c r="AM10" s="3">
        <v>2047</v>
      </c>
      <c r="AN10" s="25">
        <v>2048</v>
      </c>
      <c r="AO10" s="3">
        <v>2049</v>
      </c>
      <c r="AP10" s="25">
        <v>2050</v>
      </c>
      <c r="AQ10" s="3">
        <v>2051</v>
      </c>
    </row>
    <row r="11" spans="1:43" x14ac:dyDescent="0.25">
      <c r="K11" s="23"/>
      <c r="L11" s="179" t="s">
        <v>119</v>
      </c>
      <c r="M11" s="28">
        <f>SUM(P11:AQ11)</f>
        <v>986.68523042239349</v>
      </c>
      <c r="O11" s="34"/>
      <c r="P11" s="2">
        <f>'Tab 12 - Land Absorption'!N4</f>
        <v>72.79056482579459</v>
      </c>
      <c r="Q11" s="2">
        <f>'Tab 12 - Land Absorption'!O4</f>
        <v>77.030791903025346</v>
      </c>
      <c r="R11" s="2">
        <f>'Tab 12 - Land Absorption'!P4</f>
        <v>75.61738287728177</v>
      </c>
      <c r="S11" s="2">
        <f>'Tab 12 - Land Absorption'!Q4</f>
        <v>75.61738287728177</v>
      </c>
      <c r="T11" s="2">
        <f>'Tab 12 - Land Absorption'!R4</f>
        <v>65.494833222366509</v>
      </c>
      <c r="U11" s="2">
        <f>'Tab 12 - Land Absorption'!S4</f>
        <v>64.976785926310043</v>
      </c>
      <c r="V11" s="2">
        <f>'Tab 12 - Land Absorption'!T4</f>
        <v>64.458738630253578</v>
      </c>
      <c r="W11" s="2">
        <f>'Tab 12 - Land Absorption'!U4</f>
        <v>63.940691334197119</v>
      </c>
      <c r="X11" s="2">
        <f>'Tab 12 - Land Absorption'!V4</f>
        <v>63.42264403814066</v>
      </c>
      <c r="Y11" s="2">
        <f>'Tab 12 - Land Absorption'!W4</f>
        <v>62.904596742084195</v>
      </c>
      <c r="Z11" s="2">
        <f>'Tab 12 - Land Absorption'!X4</f>
        <v>62.386549446027736</v>
      </c>
      <c r="AA11" s="2">
        <f>'Tab 12 - Land Absorption'!Y4</f>
        <v>61.86850214997127</v>
      </c>
      <c r="AB11" s="2">
        <f>'Tab 12 - Land Absorption'!Z4</f>
        <v>61.350454853914812</v>
      </c>
      <c r="AC11" s="2">
        <f>'Tab 12 - Land Absorption'!AA4</f>
        <v>60.832407557858346</v>
      </c>
      <c r="AD11" s="2">
        <f>'Tab 12 - Land Absorption'!AB4</f>
        <v>53.992904037885666</v>
      </c>
      <c r="AE11" s="2"/>
      <c r="AF11" s="2"/>
      <c r="AG11" s="2"/>
      <c r="AH11" s="2"/>
      <c r="AI11" s="2"/>
      <c r="AJ11" s="2"/>
      <c r="AK11" s="2"/>
      <c r="AL11" s="2"/>
      <c r="AM11" s="2"/>
      <c r="AN11" s="2"/>
      <c r="AO11" s="2"/>
      <c r="AP11" s="2"/>
      <c r="AQ11" s="2"/>
    </row>
    <row r="12" spans="1:43" x14ac:dyDescent="0.25">
      <c r="E12" s="87"/>
      <c r="F12" s="30"/>
      <c r="G12" s="22"/>
      <c r="H12" s="22"/>
      <c r="K12" s="23"/>
      <c r="L12" s="179" t="s">
        <v>120</v>
      </c>
      <c r="M12" s="28">
        <f t="shared" ref="M12:M16" si="0">SUM(P12:AQ12)</f>
        <v>1708.4670689837728</v>
      </c>
      <c r="O12" s="34"/>
      <c r="P12" s="2">
        <f>'Tab 12 - Land Absorption'!N8</f>
        <v>128.4299161517734</v>
      </c>
      <c r="Q12" s="2">
        <f>'Tab 12 - Land Absorption'!O8</f>
        <v>135.91127049071167</v>
      </c>
      <c r="R12" s="2">
        <f>'Tab 12 - Land Absorption'!P8</f>
        <v>133.41748571106558</v>
      </c>
      <c r="S12" s="2">
        <f>'Tab 12 - Land Absorption'!Q8</f>
        <v>133.41748571106558</v>
      </c>
      <c r="T12" s="2">
        <f>'Tab 12 - Land Absorption'!R8</f>
        <v>112.46090775906366</v>
      </c>
      <c r="U12" s="2">
        <f>'Tab 12 - Land Absorption'!S8</f>
        <v>111.57137088553907</v>
      </c>
      <c r="V12" s="2">
        <f>'Tab 12 - Land Absorption'!T8</f>
        <v>110.68183401201448</v>
      </c>
      <c r="W12" s="2">
        <f>'Tab 12 - Land Absorption'!U8</f>
        <v>109.7922971384899</v>
      </c>
      <c r="X12" s="2">
        <f>'Tab 12 - Land Absorption'!V8</f>
        <v>108.90276026496531</v>
      </c>
      <c r="Y12" s="2">
        <f>'Tab 12 - Land Absorption'!W8</f>
        <v>108.01322339144072</v>
      </c>
      <c r="Z12" s="2">
        <f>'Tab 12 - Land Absorption'!X8</f>
        <v>107.12368651791614</v>
      </c>
      <c r="AA12" s="2">
        <f>'Tab 12 - Land Absorption'!Y8</f>
        <v>106.23414964439155</v>
      </c>
      <c r="AB12" s="2">
        <f>'Tab 12 - Land Absorption'!Z8</f>
        <v>105.34461277086697</v>
      </c>
      <c r="AC12" s="2">
        <f>'Tab 12 - Land Absorption'!AA8</f>
        <v>104.45507589734238</v>
      </c>
      <c r="AD12" s="2">
        <f>'Tab 12 - Land Absorption'!AB8</f>
        <v>92.710992637126282</v>
      </c>
      <c r="AE12" s="2"/>
      <c r="AF12" s="2"/>
      <c r="AG12" s="2"/>
      <c r="AH12" s="2"/>
      <c r="AI12" s="2"/>
      <c r="AJ12" s="2"/>
      <c r="AK12" s="2"/>
      <c r="AL12" s="2"/>
      <c r="AM12" s="2"/>
      <c r="AN12" s="2"/>
      <c r="AO12" s="2"/>
      <c r="AP12" s="2"/>
      <c r="AQ12" s="2"/>
    </row>
    <row r="13" spans="1:43" x14ac:dyDescent="0.25">
      <c r="E13" s="87"/>
      <c r="F13" s="30"/>
      <c r="G13" s="22"/>
      <c r="H13" s="22"/>
      <c r="K13" s="23"/>
      <c r="L13" s="179" t="s">
        <v>121</v>
      </c>
      <c r="M13" s="28">
        <f t="shared" si="0"/>
        <v>886.63672591570048</v>
      </c>
      <c r="O13" s="34"/>
      <c r="P13" s="2">
        <f>'Tab 12 - Land Absorption'!N9</f>
        <v>37.680178248443589</v>
      </c>
      <c r="Q13" s="2">
        <f>'Tab 12 - Land Absorption'!O9</f>
        <v>39.875140088158744</v>
      </c>
      <c r="R13" s="2">
        <f>'Tab 12 - Land Absorption'!P9</f>
        <v>39.143486141587026</v>
      </c>
      <c r="S13" s="2">
        <f>'Tab 12 - Land Absorption'!Q9</f>
        <v>39.143486141587026</v>
      </c>
      <c r="T13" s="2">
        <f>'Tab 12 - Land Absorption'!R9</f>
        <v>69.809258541277856</v>
      </c>
      <c r="U13" s="2">
        <f>'Tab 12 - Land Absorption'!S9</f>
        <v>69.257085249924785</v>
      </c>
      <c r="V13" s="2">
        <f>'Tab 12 - Land Absorption'!T9</f>
        <v>68.704911958571699</v>
      </c>
      <c r="W13" s="2">
        <f>'Tab 12 - Land Absorption'!U9</f>
        <v>68.152738667218614</v>
      </c>
      <c r="X13" s="2">
        <f>'Tab 12 - Land Absorption'!V9</f>
        <v>67.600565375865528</v>
      </c>
      <c r="Y13" s="2">
        <f>'Tab 12 - Land Absorption'!W9</f>
        <v>67.048392084512443</v>
      </c>
      <c r="Z13" s="2">
        <f>'Tab 12 - Land Absorption'!X9</f>
        <v>66.496218793159358</v>
      </c>
      <c r="AA13" s="2">
        <f>'Tab 12 - Land Absorption'!Y9</f>
        <v>65.944045501806272</v>
      </c>
      <c r="AB13" s="2">
        <f>'Tab 12 - Land Absorption'!Z9</f>
        <v>65.391872210453187</v>
      </c>
      <c r="AC13" s="2">
        <f>'Tab 12 - Land Absorption'!AA9</f>
        <v>64.839698919100101</v>
      </c>
      <c r="AD13" s="2">
        <f>'Tab 12 - Land Absorption'!AB9</f>
        <v>57.549647994034146</v>
      </c>
      <c r="AE13" s="2"/>
      <c r="AF13" s="2"/>
      <c r="AG13" s="2"/>
      <c r="AH13" s="2"/>
      <c r="AI13" s="2"/>
      <c r="AJ13" s="2"/>
      <c r="AK13" s="2"/>
      <c r="AL13" s="2"/>
      <c r="AM13" s="2"/>
      <c r="AN13" s="2"/>
      <c r="AO13" s="2"/>
      <c r="AP13" s="2"/>
      <c r="AQ13" s="2"/>
    </row>
    <row r="14" spans="1:43" x14ac:dyDescent="0.25">
      <c r="E14" s="63"/>
      <c r="F14" s="22"/>
      <c r="G14" s="22"/>
      <c r="H14" s="22"/>
      <c r="K14" s="23"/>
      <c r="L14" s="179" t="s">
        <v>122</v>
      </c>
      <c r="M14" s="28">
        <f t="shared" si="0"/>
        <v>221.51809773546776</v>
      </c>
      <c r="O14" s="34"/>
      <c r="P14" s="2">
        <f>'Tab 12 - Land Absorption'!N6</f>
        <v>12.23416482669127</v>
      </c>
      <c r="Q14" s="2">
        <f>'Tab 12 - Land Absorption'!O6</f>
        <v>12.946834622420857</v>
      </c>
      <c r="R14" s="2">
        <f>'Tab 12 - Land Absorption'!P6</f>
        <v>12.709278023844329</v>
      </c>
      <c r="S14" s="2">
        <f>'Tab 12 - Land Absorption'!Q6</f>
        <v>12.709278023844329</v>
      </c>
      <c r="T14" s="2">
        <f>'Tab 12 - Land Absorption'!R6</f>
        <v>16.327021838645866</v>
      </c>
      <c r="U14" s="2">
        <f>'Tab 12 - Land Absorption'!S6</f>
        <v>16.197879292585043</v>
      </c>
      <c r="V14" s="2">
        <f>'Tab 12 - Land Absorption'!T6</f>
        <v>16.068736746524223</v>
      </c>
      <c r="W14" s="2">
        <f>'Tab 12 - Land Absorption'!U6</f>
        <v>15.9395942004634</v>
      </c>
      <c r="X14" s="2">
        <f>'Tab 12 - Land Absorption'!V6</f>
        <v>15.810451654402579</v>
      </c>
      <c r="Y14" s="2">
        <f>'Tab 12 - Land Absorption'!W6</f>
        <v>15.681309108341758</v>
      </c>
      <c r="Z14" s="2">
        <f>'Tab 12 - Land Absorption'!X6</f>
        <v>15.552166562280936</v>
      </c>
      <c r="AA14" s="2">
        <f>'Tab 12 - Land Absorption'!Y6</f>
        <v>15.423024016220115</v>
      </c>
      <c r="AB14" s="2">
        <f>'Tab 12 - Land Absorption'!Z6</f>
        <v>15.293881470159292</v>
      </c>
      <c r="AC14" s="2">
        <f>'Tab 12 - Land Absorption'!AA6</f>
        <v>15.16473892409847</v>
      </c>
      <c r="AD14" s="2">
        <f>'Tab 12 - Land Absorption'!AB6</f>
        <v>13.459738424945289</v>
      </c>
      <c r="AE14" s="2"/>
      <c r="AF14" s="2"/>
      <c r="AG14" s="2"/>
      <c r="AH14" s="2"/>
      <c r="AI14" s="2"/>
      <c r="AJ14" s="2"/>
      <c r="AK14" s="2"/>
      <c r="AL14" s="2"/>
      <c r="AM14" s="2"/>
      <c r="AN14" s="2"/>
      <c r="AO14" s="2"/>
      <c r="AP14" s="2"/>
      <c r="AQ14" s="2"/>
    </row>
    <row r="15" spans="1:43" x14ac:dyDescent="0.25">
      <c r="E15" s="87"/>
      <c r="K15" s="23"/>
      <c r="L15" s="179" t="s">
        <v>123</v>
      </c>
      <c r="M15" s="28">
        <f t="shared" si="0"/>
        <v>89.384808708051651</v>
      </c>
      <c r="O15" s="34"/>
      <c r="P15" s="2">
        <f>'Tab 12 - Land Absorption'!N5</f>
        <v>12.376186583489797</v>
      </c>
      <c r="Q15" s="2">
        <f>'Tab 12 - Land Absorption'!O5</f>
        <v>13.097129491265902</v>
      </c>
      <c r="R15" s="2">
        <f>'Tab 12 - Land Absorption'!P5</f>
        <v>12.856815188673867</v>
      </c>
      <c r="S15" s="2">
        <f>'Tab 12 - Land Absorption'!Q5</f>
        <v>12.856815188673867</v>
      </c>
      <c r="T15" s="2">
        <f>'Tab 12 - Land Absorption'!R5</f>
        <v>3.648857070004679</v>
      </c>
      <c r="U15" s="2">
        <f>'Tab 12 - Land Absorption'!S5</f>
        <v>3.6199955484798494</v>
      </c>
      <c r="V15" s="2">
        <f>'Tab 12 - Land Absorption'!T5</f>
        <v>3.5911340269550203</v>
      </c>
      <c r="W15" s="2">
        <f>'Tab 12 - Land Absorption'!U5</f>
        <v>3.5622725054301911</v>
      </c>
      <c r="X15" s="2">
        <f>'Tab 12 - Land Absorption'!V5</f>
        <v>3.533410983905362</v>
      </c>
      <c r="Y15" s="2">
        <f>'Tab 12 - Land Absorption'!W5</f>
        <v>3.5045494623805329</v>
      </c>
      <c r="Z15" s="2">
        <f>'Tab 12 - Land Absorption'!X5</f>
        <v>3.4756879408557038</v>
      </c>
      <c r="AA15" s="2">
        <f>'Tab 12 - Land Absorption'!Y5</f>
        <v>3.4468264193308746</v>
      </c>
      <c r="AB15" s="2">
        <f>'Tab 12 - Land Absorption'!Z5</f>
        <v>3.4179648978060455</v>
      </c>
      <c r="AC15" s="2">
        <f>'Tab 12 - Land Absorption'!AA5</f>
        <v>3.3891033762812164</v>
      </c>
      <c r="AD15" s="2">
        <f>'Tab 12 - Land Absorption'!AB5</f>
        <v>3.0080600245187505</v>
      </c>
      <c r="AE15" s="2"/>
      <c r="AF15" s="2"/>
      <c r="AG15" s="2"/>
      <c r="AH15" s="2"/>
      <c r="AI15" s="2"/>
      <c r="AJ15" s="2"/>
      <c r="AK15" s="2"/>
      <c r="AL15" s="2"/>
      <c r="AM15" s="2"/>
      <c r="AN15" s="2"/>
      <c r="AO15" s="2"/>
      <c r="AP15" s="2"/>
      <c r="AQ15" s="2"/>
    </row>
    <row r="16" spans="1:43" x14ac:dyDescent="0.25">
      <c r="E16" s="13"/>
      <c r="K16" s="23"/>
      <c r="L16" s="179" t="s">
        <v>124</v>
      </c>
      <c r="M16" s="134">
        <f t="shared" si="0"/>
        <v>719.30806823461444</v>
      </c>
      <c r="O16" s="34"/>
      <c r="P16" s="236">
        <f>'Tab 12 - Land Absorption'!N7</f>
        <v>45.48898936380737</v>
      </c>
      <c r="Q16" s="237">
        <f>'Tab 12 - Land Absorption'!O7</f>
        <v>48.138833404417504</v>
      </c>
      <c r="R16" s="237">
        <f>'Tab 12 - Land Absorption'!P7</f>
        <v>47.255552057547462</v>
      </c>
      <c r="S16" s="237">
        <f>'Tab 12 - Land Absorption'!Q7</f>
        <v>47.255552057547462</v>
      </c>
      <c r="T16" s="237">
        <f>'Tab 12 - Land Absorption'!R7</f>
        <v>50.740019527825105</v>
      </c>
      <c r="U16" s="237">
        <f>'Tab 12 - Land Absorption'!S7</f>
        <v>50.338679015528555</v>
      </c>
      <c r="V16" s="237">
        <f>'Tab 12 - Land Absorption'!T7</f>
        <v>49.937338503231999</v>
      </c>
      <c r="W16" s="237">
        <f>'Tab 12 - Land Absorption'!U7</f>
        <v>49.535997990935449</v>
      </c>
      <c r="X16" s="237">
        <f>'Tab 12 - Land Absorption'!V7</f>
        <v>49.134657478638893</v>
      </c>
      <c r="Y16" s="237">
        <f>'Tab 12 - Land Absorption'!W7</f>
        <v>48.733316966342343</v>
      </c>
      <c r="Z16" s="237">
        <f>'Tab 12 - Land Absorption'!X7</f>
        <v>48.331976454045787</v>
      </c>
      <c r="AA16" s="237">
        <f>'Tab 12 - Land Absorption'!Y7</f>
        <v>47.930635941749237</v>
      </c>
      <c r="AB16" s="237">
        <f>'Tab 12 - Land Absorption'!Z7</f>
        <v>47.529295429452681</v>
      </c>
      <c r="AC16" s="237">
        <f>'Tab 12 - Land Absorption'!AA7</f>
        <v>47.127954917156131</v>
      </c>
      <c r="AD16" s="237">
        <f>'Tab 12 - Land Absorption'!AB7</f>
        <v>41.829269126388596</v>
      </c>
      <c r="AE16" s="2"/>
      <c r="AF16" s="2"/>
      <c r="AG16" s="2"/>
      <c r="AH16" s="2"/>
      <c r="AI16" s="2"/>
      <c r="AJ16" s="2"/>
      <c r="AK16" s="2"/>
      <c r="AL16" s="2"/>
      <c r="AM16" s="2"/>
      <c r="AN16" s="2"/>
      <c r="AO16" s="2"/>
      <c r="AP16" s="2"/>
      <c r="AQ16" s="2"/>
    </row>
    <row r="17" spans="3:46" x14ac:dyDescent="0.25">
      <c r="E17" s="13"/>
      <c r="K17" s="23"/>
      <c r="L17" s="4"/>
      <c r="M17" s="28">
        <f>SUM(M11:M16)</f>
        <v>4612</v>
      </c>
      <c r="O17" s="34"/>
      <c r="P17" s="28">
        <f>SUM(P11:P16)</f>
        <v>309.00000000000006</v>
      </c>
      <c r="Q17" s="28">
        <f t="shared" ref="Q17:AD17" si="1">SUM(Q11:Q16)</f>
        <v>327</v>
      </c>
      <c r="R17" s="28">
        <f t="shared" si="1"/>
        <v>321.00000000000006</v>
      </c>
      <c r="S17" s="28">
        <f t="shared" si="1"/>
        <v>321.00000000000006</v>
      </c>
      <c r="T17" s="28">
        <f t="shared" si="1"/>
        <v>318.48089795918366</v>
      </c>
      <c r="U17" s="28">
        <f t="shared" si="1"/>
        <v>315.96179591836733</v>
      </c>
      <c r="V17" s="28">
        <f t="shared" si="1"/>
        <v>313.44269387755105</v>
      </c>
      <c r="W17" s="28">
        <f t="shared" si="1"/>
        <v>310.92359183673472</v>
      </c>
      <c r="X17" s="28">
        <f t="shared" si="1"/>
        <v>308.40448979591832</v>
      </c>
      <c r="Y17" s="28">
        <f t="shared" si="1"/>
        <v>305.88538775510199</v>
      </c>
      <c r="Z17" s="28">
        <f t="shared" si="1"/>
        <v>303.36628571428565</v>
      </c>
      <c r="AA17" s="28">
        <f t="shared" si="1"/>
        <v>300.84718367346932</v>
      </c>
      <c r="AB17" s="28">
        <f t="shared" si="1"/>
        <v>298.32808163265298</v>
      </c>
      <c r="AC17" s="28">
        <f t="shared" si="1"/>
        <v>295.80897959183665</v>
      </c>
      <c r="AD17" s="28">
        <f t="shared" si="1"/>
        <v>262.55061224489873</v>
      </c>
      <c r="AE17" s="2"/>
      <c r="AF17" s="2"/>
      <c r="AG17" s="2"/>
      <c r="AH17" s="2"/>
      <c r="AI17" s="2"/>
      <c r="AJ17" s="2"/>
      <c r="AK17" s="2"/>
      <c r="AL17" s="2"/>
      <c r="AM17" s="2"/>
      <c r="AN17" s="13"/>
      <c r="AO17" s="2"/>
      <c r="AP17" s="2"/>
      <c r="AQ17" s="2"/>
    </row>
    <row r="18" spans="3:46" x14ac:dyDescent="0.25">
      <c r="E18" s="87"/>
      <c r="K18" s="23"/>
      <c r="L18" s="4"/>
      <c r="M18" s="28"/>
      <c r="O18" s="34"/>
      <c r="P18" s="2"/>
      <c r="Q18" s="2"/>
      <c r="R18" s="2"/>
      <c r="S18" s="2"/>
      <c r="T18" s="2"/>
      <c r="U18" s="2"/>
      <c r="V18" s="2"/>
      <c r="W18" s="2"/>
      <c r="X18" s="2"/>
      <c r="Y18" s="2"/>
      <c r="Z18" s="2"/>
      <c r="AA18" s="2"/>
      <c r="AB18" s="2"/>
      <c r="AC18" s="2"/>
      <c r="AD18" s="2"/>
      <c r="AE18" s="2"/>
      <c r="AF18" s="2"/>
      <c r="AG18" s="2"/>
      <c r="AH18" s="2"/>
      <c r="AI18" s="2"/>
      <c r="AJ18" s="2"/>
      <c r="AK18" s="2"/>
      <c r="AL18" s="2"/>
      <c r="AM18" s="2"/>
      <c r="AN18" s="13"/>
      <c r="AO18" s="2"/>
      <c r="AP18" s="2"/>
      <c r="AQ18" s="2"/>
    </row>
    <row r="19" spans="3:46" x14ac:dyDescent="0.25">
      <c r="E19" s="132"/>
      <c r="K19" s="23"/>
      <c r="L19" s="4"/>
      <c r="M19" s="28"/>
      <c r="O19" s="34"/>
      <c r="P19" s="2"/>
      <c r="Q19" s="2"/>
      <c r="R19" s="2"/>
      <c r="S19" s="2"/>
      <c r="T19" s="2"/>
      <c r="U19" s="2"/>
      <c r="V19" s="2"/>
      <c r="W19" s="2"/>
      <c r="X19" s="2"/>
      <c r="Y19" s="2"/>
      <c r="Z19" s="2"/>
      <c r="AA19" s="2"/>
      <c r="AB19" s="2"/>
      <c r="AC19" s="2"/>
      <c r="AD19" s="2"/>
      <c r="AE19" s="2"/>
      <c r="AF19" s="2"/>
      <c r="AG19" s="2"/>
      <c r="AH19" s="2"/>
      <c r="AI19" s="2"/>
      <c r="AJ19" s="2"/>
      <c r="AK19" s="2"/>
      <c r="AL19" s="2"/>
      <c r="AM19" s="2"/>
      <c r="AN19" s="13"/>
      <c r="AO19" s="2"/>
      <c r="AP19" s="2"/>
      <c r="AQ19" s="2"/>
    </row>
    <row r="20" spans="3:46" x14ac:dyDescent="0.25">
      <c r="E20" s="131"/>
      <c r="I20" s="22" t="s">
        <v>125</v>
      </c>
      <c r="J20" s="22"/>
      <c r="K20" s="52">
        <v>7642.1838450099985</v>
      </c>
      <c r="L20" s="4" t="s">
        <v>126</v>
      </c>
      <c r="M20" s="42"/>
      <c r="N20" s="42"/>
      <c r="O20" s="43"/>
      <c r="P20" s="42">
        <f>K20</f>
        <v>7642.1838450099985</v>
      </c>
      <c r="Q20" s="42">
        <f t="shared" ref="Q20:AF25" si="2">P20*(1+$B$7)</f>
        <v>7915.7740266613573</v>
      </c>
      <c r="R20" s="42">
        <f t="shared" si="2"/>
        <v>8199.1587368158343</v>
      </c>
      <c r="S20" s="42">
        <f t="shared" si="2"/>
        <v>8492.6886195938423</v>
      </c>
      <c r="T20" s="42">
        <f t="shared" si="2"/>
        <v>8796.7268721753026</v>
      </c>
      <c r="U20" s="42">
        <f t="shared" si="2"/>
        <v>9111.6496941991791</v>
      </c>
      <c r="V20" s="42">
        <f t="shared" si="2"/>
        <v>9437.8467532515097</v>
      </c>
      <c r="W20" s="42">
        <f t="shared" si="2"/>
        <v>9775.721667017915</v>
      </c>
      <c r="X20" s="42">
        <f t="shared" si="2"/>
        <v>10125.692502697157</v>
      </c>
      <c r="Y20" s="42">
        <f t="shared" si="2"/>
        <v>10488.192294293716</v>
      </c>
      <c r="Z20" s="42">
        <f t="shared" si="2"/>
        <v>10863.669578429432</v>
      </c>
      <c r="AA20" s="42">
        <f t="shared" si="2"/>
        <v>11252.588949337205</v>
      </c>
      <c r="AB20" s="42">
        <f t="shared" si="2"/>
        <v>11655.431633723478</v>
      </c>
      <c r="AC20" s="42">
        <f t="shared" si="2"/>
        <v>12072.696086210779</v>
      </c>
      <c r="AD20" s="42">
        <f t="shared" si="2"/>
        <v>12504.898606097126</v>
      </c>
      <c r="AE20" s="42">
        <f t="shared" si="2"/>
        <v>12952.573976195403</v>
      </c>
      <c r="AF20" s="42">
        <f t="shared" si="2"/>
        <v>13416.276124543199</v>
      </c>
      <c r="AG20" s="42">
        <f t="shared" ref="AG20:AQ25" si="3">AF20*(1+$B$7)</f>
        <v>13896.578809801847</v>
      </c>
      <c r="AH20" s="42">
        <f t="shared" si="3"/>
        <v>14394.076331192755</v>
      </c>
      <c r="AI20" s="42">
        <f t="shared" si="3"/>
        <v>14909.384263849457</v>
      </c>
      <c r="AJ20" s="42">
        <f t="shared" si="3"/>
        <v>15443.140220495268</v>
      </c>
      <c r="AK20" s="42">
        <f t="shared" si="3"/>
        <v>15996.004640388999</v>
      </c>
      <c r="AL20" s="42">
        <f t="shared" si="3"/>
        <v>16568.661606514925</v>
      </c>
      <c r="AM20" s="42">
        <f t="shared" si="3"/>
        <v>17161.819692028159</v>
      </c>
      <c r="AN20" s="42">
        <f t="shared" si="3"/>
        <v>17776.212837002768</v>
      </c>
      <c r="AO20" s="42">
        <f t="shared" si="3"/>
        <v>18412.601256567468</v>
      </c>
      <c r="AP20" s="42">
        <f t="shared" si="3"/>
        <v>19071.772381552586</v>
      </c>
      <c r="AQ20" s="42">
        <f t="shared" si="3"/>
        <v>19754.54183281217</v>
      </c>
    </row>
    <row r="21" spans="3:46" x14ac:dyDescent="0.25">
      <c r="E21" s="132"/>
      <c r="I21" s="22" t="s">
        <v>127</v>
      </c>
      <c r="J21" s="22"/>
      <c r="K21" s="52">
        <v>1535.3764876602513</v>
      </c>
      <c r="L21" s="4" t="s">
        <v>128</v>
      </c>
      <c r="M21" s="42"/>
      <c r="N21" s="42"/>
      <c r="O21" s="43"/>
      <c r="P21" s="42">
        <f t="shared" ref="P21:P25" si="4">K21</f>
        <v>1535.3764876602513</v>
      </c>
      <c r="Q21" s="42">
        <f t="shared" ref="Q21:AE25" si="5">P21*(1+$B$7)</f>
        <v>1590.3429659184883</v>
      </c>
      <c r="R21" s="42">
        <f t="shared" si="5"/>
        <v>1647.2772440983701</v>
      </c>
      <c r="S21" s="42">
        <f t="shared" si="5"/>
        <v>1706.2497694370918</v>
      </c>
      <c r="T21" s="42">
        <f t="shared" si="5"/>
        <v>1767.3335111829397</v>
      </c>
      <c r="U21" s="42">
        <f t="shared" si="5"/>
        <v>1830.6040508832891</v>
      </c>
      <c r="V21" s="42">
        <f t="shared" si="5"/>
        <v>1896.139675904911</v>
      </c>
      <c r="W21" s="42">
        <f t="shared" si="5"/>
        <v>1964.0214763023068</v>
      </c>
      <c r="X21" s="42">
        <f t="shared" si="5"/>
        <v>2034.3334451539295</v>
      </c>
      <c r="Y21" s="42">
        <f t="shared" si="5"/>
        <v>2107.1625824904404</v>
      </c>
      <c r="Z21" s="42">
        <f t="shared" si="5"/>
        <v>2182.5990029435984</v>
      </c>
      <c r="AA21" s="42">
        <f t="shared" si="5"/>
        <v>2260.7360472489795</v>
      </c>
      <c r="AB21" s="42">
        <f t="shared" si="5"/>
        <v>2341.6703977404932</v>
      </c>
      <c r="AC21" s="42">
        <f t="shared" si="5"/>
        <v>2425.5021979796029</v>
      </c>
      <c r="AD21" s="42">
        <f t="shared" si="5"/>
        <v>2512.3351766672727</v>
      </c>
      <c r="AE21" s="42">
        <f t="shared" si="5"/>
        <v>2602.2767759919611</v>
      </c>
      <c r="AF21" s="42">
        <f t="shared" si="2"/>
        <v>2695.4382845724735</v>
      </c>
      <c r="AG21" s="42">
        <f t="shared" si="3"/>
        <v>2791.9349751601681</v>
      </c>
      <c r="AH21" s="42">
        <f t="shared" si="3"/>
        <v>2891.886247270902</v>
      </c>
      <c r="AI21" s="42">
        <f t="shared" si="3"/>
        <v>2995.4157749232004</v>
      </c>
      <c r="AJ21" s="42">
        <f t="shared" si="3"/>
        <v>3102.651659665451</v>
      </c>
      <c r="AK21" s="42">
        <f t="shared" si="3"/>
        <v>3213.7265890814742</v>
      </c>
      <c r="AL21" s="42">
        <f t="shared" si="3"/>
        <v>3328.7780009705912</v>
      </c>
      <c r="AM21" s="42">
        <f t="shared" si="3"/>
        <v>3447.9482534053386</v>
      </c>
      <c r="AN21" s="42">
        <f t="shared" si="3"/>
        <v>3571.3848008772497</v>
      </c>
      <c r="AO21" s="42">
        <f t="shared" si="3"/>
        <v>3699.2403767486553</v>
      </c>
      <c r="AP21" s="42">
        <f t="shared" si="3"/>
        <v>3831.6731822362572</v>
      </c>
      <c r="AQ21" s="42">
        <f t="shared" si="3"/>
        <v>3968.8470821603155</v>
      </c>
    </row>
    <row r="22" spans="3:46" x14ac:dyDescent="0.25">
      <c r="E22" s="22"/>
      <c r="I22" s="22" t="s">
        <v>129</v>
      </c>
      <c r="J22" s="22"/>
      <c r="K22" s="52">
        <v>58327.210600520179</v>
      </c>
      <c r="L22" s="4" t="s">
        <v>130</v>
      </c>
      <c r="M22" s="42"/>
      <c r="N22" s="42"/>
      <c r="O22" s="43"/>
      <c r="P22" s="42">
        <f t="shared" si="4"/>
        <v>58327.210600520179</v>
      </c>
      <c r="Q22" s="42">
        <f t="shared" si="5"/>
        <v>60415.324740018805</v>
      </c>
      <c r="R22" s="42">
        <f t="shared" si="5"/>
        <v>62578.193365711479</v>
      </c>
      <c r="S22" s="42">
        <f t="shared" si="5"/>
        <v>64818.492688203951</v>
      </c>
      <c r="T22" s="42">
        <f t="shared" si="5"/>
        <v>67138.994726441655</v>
      </c>
      <c r="U22" s="42">
        <f t="shared" si="5"/>
        <v>69542.570737648275</v>
      </c>
      <c r="V22" s="42">
        <f t="shared" si="5"/>
        <v>72032.194770056085</v>
      </c>
      <c r="W22" s="42">
        <f t="shared" si="5"/>
        <v>74610.947342824104</v>
      </c>
      <c r="X22" s="42">
        <f t="shared" si="5"/>
        <v>77282.019257697204</v>
      </c>
      <c r="Y22" s="42">
        <f t="shared" si="5"/>
        <v>80048.715547122774</v>
      </c>
      <c r="Z22" s="42">
        <f t="shared" si="5"/>
        <v>82914.459563709781</v>
      </c>
      <c r="AA22" s="42">
        <f t="shared" si="5"/>
        <v>85882.797216090592</v>
      </c>
      <c r="AB22" s="42">
        <f t="shared" si="5"/>
        <v>88957.401356426635</v>
      </c>
      <c r="AC22" s="42">
        <f t="shared" si="5"/>
        <v>92142.076324986716</v>
      </c>
      <c r="AD22" s="42">
        <f t="shared" si="5"/>
        <v>95440.762657421248</v>
      </c>
      <c r="AE22" s="42">
        <f t="shared" si="5"/>
        <v>98857.541960556933</v>
      </c>
      <c r="AF22" s="42">
        <f t="shared" si="2"/>
        <v>102396.64196274488</v>
      </c>
      <c r="AG22" s="42">
        <f t="shared" si="3"/>
        <v>106062.44174501115</v>
      </c>
      <c r="AH22" s="42">
        <f t="shared" si="3"/>
        <v>109859.47715948256</v>
      </c>
      <c r="AI22" s="42">
        <f t="shared" si="3"/>
        <v>113792.44644179204</v>
      </c>
      <c r="AJ22" s="42">
        <f t="shared" si="3"/>
        <v>117866.2160244082</v>
      </c>
      <c r="AK22" s="42">
        <f t="shared" si="3"/>
        <v>122085.82655808203</v>
      </c>
      <c r="AL22" s="42">
        <f t="shared" si="3"/>
        <v>126456.49914886137</v>
      </c>
      <c r="AM22" s="42">
        <f t="shared" si="3"/>
        <v>130983.64181839062</v>
      </c>
      <c r="AN22" s="42">
        <f t="shared" si="3"/>
        <v>135672.856195489</v>
      </c>
      <c r="AO22" s="42">
        <f t="shared" si="3"/>
        <v>140529.9444472875</v>
      </c>
      <c r="AP22" s="42">
        <f t="shared" si="3"/>
        <v>145560.9164585004</v>
      </c>
      <c r="AQ22" s="42">
        <f t="shared" si="3"/>
        <v>150771.99726771473</v>
      </c>
    </row>
    <row r="23" spans="3:46" x14ac:dyDescent="0.25">
      <c r="E23" s="22"/>
      <c r="I23" s="22" t="s">
        <v>131</v>
      </c>
      <c r="J23" s="22"/>
      <c r="K23" s="52">
        <v>125423.60032290977</v>
      </c>
      <c r="L23" s="4" t="s">
        <v>132</v>
      </c>
      <c r="M23" s="42"/>
      <c r="N23" s="42"/>
      <c r="O23" s="43"/>
      <c r="P23" s="42">
        <f t="shared" si="4"/>
        <v>125423.60032290977</v>
      </c>
      <c r="Q23" s="42">
        <f t="shared" si="5"/>
        <v>129913.76521446995</v>
      </c>
      <c r="R23" s="42">
        <f t="shared" si="5"/>
        <v>134564.67800914799</v>
      </c>
      <c r="S23" s="42">
        <f t="shared" si="5"/>
        <v>139382.09348187549</v>
      </c>
      <c r="T23" s="42">
        <f t="shared" si="5"/>
        <v>144371.97242852664</v>
      </c>
      <c r="U23" s="42">
        <f t="shared" si="5"/>
        <v>149540.4890414679</v>
      </c>
      <c r="V23" s="42">
        <f t="shared" si="5"/>
        <v>154894.03854915246</v>
      </c>
      <c r="W23" s="42">
        <f t="shared" si="5"/>
        <v>160439.24512921213</v>
      </c>
      <c r="X23" s="42">
        <f t="shared" si="5"/>
        <v>166182.97010483794</v>
      </c>
      <c r="Y23" s="42">
        <f t="shared" si="5"/>
        <v>172132.32043459115</v>
      </c>
      <c r="Z23" s="42">
        <f t="shared" si="5"/>
        <v>178294.65750614952</v>
      </c>
      <c r="AA23" s="42">
        <f t="shared" si="5"/>
        <v>184677.60624486968</v>
      </c>
      <c r="AB23" s="42">
        <f t="shared" si="5"/>
        <v>191289.06454843603</v>
      </c>
      <c r="AC23" s="42">
        <f t="shared" si="5"/>
        <v>198137.21305927006</v>
      </c>
      <c r="AD23" s="42">
        <f t="shared" si="5"/>
        <v>205230.52528679193</v>
      </c>
      <c r="AE23" s="42">
        <f t="shared" si="5"/>
        <v>212577.7780920591</v>
      </c>
      <c r="AF23" s="42">
        <f t="shared" si="2"/>
        <v>220188.06254775482</v>
      </c>
      <c r="AG23" s="42">
        <f t="shared" si="3"/>
        <v>228070.79518696445</v>
      </c>
      <c r="AH23" s="42">
        <f t="shared" si="3"/>
        <v>236235.72965465777</v>
      </c>
      <c r="AI23" s="42">
        <f t="shared" si="3"/>
        <v>244692.96877629453</v>
      </c>
      <c r="AJ23" s="42">
        <f t="shared" si="3"/>
        <v>253452.97705848588</v>
      </c>
      <c r="AK23" s="42">
        <f t="shared" si="3"/>
        <v>262526.5936371797</v>
      </c>
      <c r="AL23" s="42">
        <f t="shared" si="3"/>
        <v>271925.04568939074</v>
      </c>
      <c r="AM23" s="42">
        <f t="shared" si="3"/>
        <v>281659.96232507093</v>
      </c>
      <c r="AN23" s="42">
        <f t="shared" si="3"/>
        <v>291743.38897630846</v>
      </c>
      <c r="AO23" s="42">
        <f t="shared" si="3"/>
        <v>302187.8023016603</v>
      </c>
      <c r="AP23" s="42">
        <f t="shared" si="3"/>
        <v>313006.12562405976</v>
      </c>
      <c r="AQ23" s="42">
        <f t="shared" si="3"/>
        <v>324211.74492140108</v>
      </c>
    </row>
    <row r="24" spans="3:46" x14ac:dyDescent="0.25">
      <c r="C24" s="42"/>
      <c r="E24" s="13"/>
      <c r="I24" s="22" t="s">
        <v>133</v>
      </c>
      <c r="J24" s="22"/>
      <c r="K24" s="52">
        <v>0</v>
      </c>
      <c r="L24" s="4" t="s">
        <v>134</v>
      </c>
      <c r="M24" s="42"/>
      <c r="N24" s="42"/>
      <c r="O24" s="43"/>
      <c r="P24" s="42">
        <f t="shared" si="4"/>
        <v>0</v>
      </c>
      <c r="Q24" s="42">
        <f t="shared" si="5"/>
        <v>0</v>
      </c>
      <c r="R24" s="42">
        <f t="shared" si="5"/>
        <v>0</v>
      </c>
      <c r="S24" s="42">
        <f t="shared" si="5"/>
        <v>0</v>
      </c>
      <c r="T24" s="42">
        <f t="shared" si="5"/>
        <v>0</v>
      </c>
      <c r="U24" s="42">
        <f t="shared" si="5"/>
        <v>0</v>
      </c>
      <c r="V24" s="42">
        <f t="shared" si="5"/>
        <v>0</v>
      </c>
      <c r="W24" s="42">
        <f t="shared" si="5"/>
        <v>0</v>
      </c>
      <c r="X24" s="42">
        <f t="shared" si="5"/>
        <v>0</v>
      </c>
      <c r="Y24" s="42">
        <f t="shared" si="5"/>
        <v>0</v>
      </c>
      <c r="Z24" s="42">
        <f t="shared" si="5"/>
        <v>0</v>
      </c>
      <c r="AA24" s="42">
        <f t="shared" si="5"/>
        <v>0</v>
      </c>
      <c r="AB24" s="42">
        <f t="shared" si="5"/>
        <v>0</v>
      </c>
      <c r="AC24" s="42">
        <f t="shared" si="5"/>
        <v>0</v>
      </c>
      <c r="AD24" s="42">
        <f t="shared" si="5"/>
        <v>0</v>
      </c>
      <c r="AE24" s="42">
        <f t="shared" si="5"/>
        <v>0</v>
      </c>
      <c r="AF24" s="42">
        <f t="shared" si="2"/>
        <v>0</v>
      </c>
      <c r="AG24" s="42">
        <f t="shared" si="3"/>
        <v>0</v>
      </c>
      <c r="AH24" s="42">
        <f t="shared" si="3"/>
        <v>0</v>
      </c>
      <c r="AI24" s="42">
        <f t="shared" si="3"/>
        <v>0</v>
      </c>
      <c r="AJ24" s="42">
        <f t="shared" si="3"/>
        <v>0</v>
      </c>
      <c r="AK24" s="42">
        <f t="shared" si="3"/>
        <v>0</v>
      </c>
      <c r="AL24" s="42">
        <f t="shared" si="3"/>
        <v>0</v>
      </c>
      <c r="AM24" s="42">
        <f t="shared" si="3"/>
        <v>0</v>
      </c>
      <c r="AN24" s="42">
        <f t="shared" si="3"/>
        <v>0</v>
      </c>
      <c r="AO24" s="42">
        <f t="shared" si="3"/>
        <v>0</v>
      </c>
      <c r="AP24" s="42">
        <f t="shared" si="3"/>
        <v>0</v>
      </c>
      <c r="AQ24" s="42">
        <f t="shared" si="3"/>
        <v>0</v>
      </c>
    </row>
    <row r="25" spans="3:46" x14ac:dyDescent="0.25">
      <c r="C25" s="42"/>
      <c r="E25" s="13"/>
      <c r="I25" s="22" t="s">
        <v>135</v>
      </c>
      <c r="J25" s="22"/>
      <c r="K25" s="52">
        <v>13490.788280099583</v>
      </c>
      <c r="L25" s="4" t="s">
        <v>136</v>
      </c>
      <c r="M25" s="42"/>
      <c r="N25" s="42"/>
      <c r="O25" s="43"/>
      <c r="P25" s="42">
        <f t="shared" si="4"/>
        <v>13490.788280099583</v>
      </c>
      <c r="Q25" s="42">
        <f t="shared" si="5"/>
        <v>13973.758500527148</v>
      </c>
      <c r="R25" s="42">
        <f t="shared" si="5"/>
        <v>14474.019054846021</v>
      </c>
      <c r="S25" s="42">
        <f t="shared" si="5"/>
        <v>14992.18893700951</v>
      </c>
      <c r="T25" s="42">
        <f t="shared" si="5"/>
        <v>15528.909300954452</v>
      </c>
      <c r="U25" s="42">
        <f t="shared" si="5"/>
        <v>16084.844253928622</v>
      </c>
      <c r="V25" s="42">
        <f t="shared" si="5"/>
        <v>16660.681678219269</v>
      </c>
      <c r="W25" s="42">
        <f t="shared" si="5"/>
        <v>17257.134082299519</v>
      </c>
      <c r="X25" s="42">
        <f t="shared" si="5"/>
        <v>17874.939482445843</v>
      </c>
      <c r="Y25" s="42">
        <f t="shared" si="5"/>
        <v>18514.862315917406</v>
      </c>
      <c r="Z25" s="42">
        <f t="shared" si="5"/>
        <v>19177.69438682725</v>
      </c>
      <c r="AA25" s="42">
        <f t="shared" si="5"/>
        <v>19864.255845875668</v>
      </c>
      <c r="AB25" s="42">
        <f t="shared" si="5"/>
        <v>20575.39620515802</v>
      </c>
      <c r="AC25" s="42">
        <f t="shared" si="5"/>
        <v>21311.99538930268</v>
      </c>
      <c r="AD25" s="42">
        <f t="shared" si="5"/>
        <v>22074.964824239716</v>
      </c>
      <c r="AE25" s="42">
        <f t="shared" si="5"/>
        <v>22865.248564947498</v>
      </c>
      <c r="AF25" s="42">
        <f t="shared" si="2"/>
        <v>23683.824463572619</v>
      </c>
      <c r="AG25" s="42">
        <f t="shared" si="3"/>
        <v>24531.705379368519</v>
      </c>
      <c r="AH25" s="42">
        <f t="shared" si="3"/>
        <v>25409.940431949912</v>
      </c>
      <c r="AI25" s="42">
        <f t="shared" si="3"/>
        <v>26319.616299413719</v>
      </c>
      <c r="AJ25" s="42">
        <f t="shared" si="3"/>
        <v>27261.858562932732</v>
      </c>
      <c r="AK25" s="42">
        <f t="shared" si="3"/>
        <v>28237.833099485724</v>
      </c>
      <c r="AL25" s="42">
        <f t="shared" si="3"/>
        <v>29248.747524447313</v>
      </c>
      <c r="AM25" s="42">
        <f t="shared" si="3"/>
        <v>30295.85268582253</v>
      </c>
      <c r="AN25" s="42">
        <f t="shared" si="3"/>
        <v>31380.44421197498</v>
      </c>
      <c r="AO25" s="42">
        <f t="shared" si="3"/>
        <v>32503.864114763684</v>
      </c>
      <c r="AP25" s="42">
        <f t="shared" si="3"/>
        <v>33667.502450072228</v>
      </c>
      <c r="AQ25" s="42">
        <f t="shared" si="3"/>
        <v>34872.799037784818</v>
      </c>
    </row>
    <row r="26" spans="3:46" x14ac:dyDescent="0.25">
      <c r="E26" s="22"/>
      <c r="I26" s="22"/>
      <c r="J26" s="22"/>
      <c r="K26" s="87"/>
      <c r="L26" s="4"/>
      <c r="M26" s="42"/>
      <c r="N26" s="42"/>
      <c r="O26" s="43"/>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9"/>
      <c r="AO26" s="42"/>
      <c r="AP26" s="40"/>
      <c r="AQ26" s="40"/>
    </row>
    <row r="27" spans="3:46" x14ac:dyDescent="0.25">
      <c r="E27" s="22"/>
      <c r="I27" s="22"/>
      <c r="J27" s="8"/>
      <c r="K27" s="63"/>
      <c r="L27" s="4" t="s">
        <v>137</v>
      </c>
      <c r="M27" s="42">
        <f t="shared" ref="M27:M32" si="6">SUM(P27:AQ27)</f>
        <v>10836349.979754556</v>
      </c>
      <c r="N27" s="42">
        <f>NPV($B$7,Q27:AQ27)+P27</f>
        <v>8359399.0000000214</v>
      </c>
      <c r="O27" s="43"/>
      <c r="P27" s="42">
        <f>-'Tab 4 - Balance'!L22*1000</f>
        <v>897734.80038484128</v>
      </c>
      <c r="Q27" s="42">
        <f>-'Tab 4 - Balance'!M22*1000+P11*P20*'Tab 11 - General'!B23</f>
        <v>608636.39883555565</v>
      </c>
      <c r="R27" s="42">
        <f>P11*P20*'Tab 11 - General'!$C$23+Q11*Q20*'Tab 11 - General'!$B$23</f>
        <v>585157.78871871368</v>
      </c>
      <c r="S27" s="42">
        <f>Q11*Q20*'Tab 11 - General'!$C$23+R11*R20*'Tab 11 - General'!$B$23</f>
        <v>615288.25698324002</v>
      </c>
      <c r="T27" s="42">
        <f>R11*R20*'Tab 11 - General'!$C$23+S11*S20*'Tab 11 - General'!$B$23</f>
        <v>631984.74470066489</v>
      </c>
      <c r="U27" s="42">
        <f>S11*S20*'Tab 11 - General'!$C$23+T11*T20*'Tab 11 - General'!$B$23</f>
        <v>606525.33409621508</v>
      </c>
      <c r="V27" s="42">
        <f>T11*T20*'Tab 11 - General'!$C$23+U11*U20*'Tab 11 - General'!$B$23</f>
        <v>584729.15759445704</v>
      </c>
      <c r="W27" s="42">
        <f>U11*U20*'Tab 11 - General'!$C$23+V11*V20*'Tab 11 - General'!$B$23</f>
        <v>600850.94377725618</v>
      </c>
      <c r="X27" s="42">
        <f>V11*V20*'Tab 11 - General'!$C$23+W11*W20*'Tab 11 - General'!$B$23</f>
        <v>617377.63757320447</v>
      </c>
      <c r="Y27" s="42">
        <f>W11*W20*'Tab 11 - General'!$C$23+X11*X20*'Tab 11 - General'!$B$23</f>
        <v>634317.56804136001</v>
      </c>
      <c r="Z27" s="42">
        <f>X11*X20*'Tab 11 - General'!$C$23+Y11*Y20*'Tab 11 - General'!$B$23</f>
        <v>651679.14165561623</v>
      </c>
      <c r="AA27" s="42">
        <f>Y11*Y20*'Tab 11 - General'!$C$23+Z11*Z20*'Tab 11 - General'!$B$23</f>
        <v>669470.83717274864</v>
      </c>
      <c r="AB27" s="42">
        <f>Z11*Z20*'Tab 11 - General'!$C$23+AA11*AA20*'Tab 11 - General'!$B$23</f>
        <v>687701.20003379614</v>
      </c>
      <c r="AC27" s="42">
        <f>AA11*AA20*'Tab 11 - General'!$C$23+AB11*AB20*'Tab 11 - General'!$B$23</f>
        <v>706378.8362719405</v>
      </c>
      <c r="AD27" s="42">
        <f>AB11*AB20*'Tab 11 - General'!$C$23+AC11*AC20*'Tab 11 - General'!$B$23</f>
        <v>725512.40589872492</v>
      </c>
      <c r="AE27" s="42">
        <f>AC11*AC20*'Tab 11 - General'!$C$23+AD11*AD20*'Tab 11 - General'!$B$23</f>
        <v>702424.06441267219</v>
      </c>
      <c r="AF27" s="42">
        <f>AD11*AD20*'Tab 11 - General'!$C$23+AE11*AE20*'Tab 11 - General'!$B$23</f>
        <v>310580.86360354652</v>
      </c>
      <c r="AG27" s="42">
        <f>AE11*AE20*'Tab 11 - General'!$C$23+AF11*AF20*'Tab 11 - General'!$B$23</f>
        <v>0</v>
      </c>
      <c r="AH27" s="42">
        <f>AF11*AF20*'Tab 11 - General'!$C$23+AG11*AG20*'Tab 11 - General'!$B$23</f>
        <v>0</v>
      </c>
      <c r="AI27" s="42">
        <f>AG11*AG20*'Tab 11 - General'!$C$23+AH11*AH20*'Tab 11 - General'!$B$23</f>
        <v>0</v>
      </c>
      <c r="AJ27" s="42">
        <f>AH11*AH20*'Tab 11 - General'!$C$23+AI11*AI20*'Tab 11 - General'!$B$23</f>
        <v>0</v>
      </c>
      <c r="AK27" s="42">
        <f>AI11*AI20*'Tab 11 - General'!$C$23+AJ11*AJ20*'Tab 11 - General'!$B$23</f>
        <v>0</v>
      </c>
      <c r="AL27" s="42">
        <f>AJ11*AJ20*'Tab 11 - General'!$C$23+AK11*AK20*'Tab 11 - General'!$B$23</f>
        <v>0</v>
      </c>
      <c r="AM27" s="42">
        <f>AK11*AK20*'Tab 11 - General'!$C$23+AL11*AL20*'Tab 11 - General'!$B$23</f>
        <v>0</v>
      </c>
      <c r="AN27" s="42">
        <f>AL11*AL20*'Tab 11 - General'!$C$23+AM11*AM20*'Tab 11 - General'!$B$23</f>
        <v>0</v>
      </c>
      <c r="AO27" s="42">
        <f>AM11*AM20*'Tab 11 - General'!$C$23+AN11*AN20*'Tab 11 - General'!$B$23</f>
        <v>0</v>
      </c>
      <c r="AP27" s="42">
        <f>AN11*AN20*'Tab 11 - General'!$C$23+AO11*AO20*'Tab 11 - General'!$B$23</f>
        <v>0</v>
      </c>
      <c r="AQ27" s="42">
        <f>AO11*AO20*'Tab 11 - General'!$C$23+AP11*AP20*'Tab 11 - General'!$B$23</f>
        <v>0</v>
      </c>
      <c r="AR27" s="42"/>
      <c r="AS27" s="42"/>
      <c r="AT27" s="42"/>
    </row>
    <row r="28" spans="3:46" x14ac:dyDescent="0.25">
      <c r="E28" s="22"/>
      <c r="I28" s="22"/>
      <c r="J28" s="8"/>
      <c r="K28" s="63"/>
      <c r="L28" s="4" t="s">
        <v>138</v>
      </c>
      <c r="M28" s="42">
        <f t="shared" si="6"/>
        <v>7455544.1557794483</v>
      </c>
      <c r="N28" s="42">
        <f t="shared" ref="N28:N32" si="7">NPV($B$7,Q28:AQ28)+P28</f>
        <v>6564399.0000000019</v>
      </c>
      <c r="O28" s="43"/>
      <c r="P28" s="42">
        <f>-'Tab 4 - Balance'!L73*1000</f>
        <v>3010066.155300952</v>
      </c>
      <c r="Q28" s="42">
        <f>-'Tab 4 - Balance'!M73*1000+P12*P21*'Tab 11 - General'!B23</f>
        <v>1206624.2996517031</v>
      </c>
      <c r="R28" s="42">
        <f>P12*P21*'Tab 11 - General'!$C$23+Q12*Q21*'Tab 11 - General'!$B$23</f>
        <v>207425.19367047289</v>
      </c>
      <c r="S28" s="42">
        <f>Q12*Q21*'Tab 11 - General'!$C$23+R12*R21*'Tab 11 - General'!$B$23</f>
        <v>218105.76280181145</v>
      </c>
      <c r="T28" s="42">
        <f>R12*R21*'Tab 11 - General'!$C$23+S12*S21*'Tab 11 - General'!$B$23</f>
        <v>224024.28984728895</v>
      </c>
      <c r="U28" s="42">
        <f>S12*S21*'Tab 11 - General'!$C$23+T12*T21*'Tab 11 - General'!$B$23</f>
        <v>212044.237676905</v>
      </c>
      <c r="V28" s="42">
        <f>T12*T21*'Tab 11 - General'!$C$23+U12*U21*'Tab 11 - General'!$B$23</f>
        <v>201718.95014415911</v>
      </c>
      <c r="W28" s="42">
        <f>U12*U21*'Tab 11 - General'!$C$23+V12*V21*'Tab 11 - General'!$B$23</f>
        <v>207280.6187235433</v>
      </c>
      <c r="X28" s="42">
        <f>V12*V21*'Tab 11 - General'!$C$23+W12*W21*'Tab 11 - General'!$B$23</f>
        <v>212981.97169794864</v>
      </c>
      <c r="Y28" s="42">
        <f>W12*W21*'Tab 11 - General'!$C$23+X12*X21*'Tab 11 - General'!$B$23</f>
        <v>218825.88241314056</v>
      </c>
      <c r="Z28" s="42">
        <f>X12*X21*'Tab 11 - General'!$C$23+Y12*Y21*'Tab 11 - General'!$B$23</f>
        <v>224815.25092133324</v>
      </c>
      <c r="AA28" s="42">
        <f>Y12*Y21*'Tab 11 - General'!$C$23+Z12*Z21*'Tab 11 - General'!$B$23</f>
        <v>230953.00221077658</v>
      </c>
      <c r="AB28" s="42">
        <f>Z12*Z21*'Tab 11 - General'!$C$23+AA12*AA21*'Tab 11 - General'!$B$23</f>
        <v>237242.08427435326</v>
      </c>
      <c r="AC28" s="42">
        <f>AA12*AA21*'Tab 11 - General'!$C$23+AB12*AB21*'Tab 11 - General'!$B$23</f>
        <v>243685.46600792857</v>
      </c>
      <c r="AD28" s="42">
        <f>AB12*AB21*'Tab 11 - General'!$C$23+AC12*AC21*'Tab 11 - General'!$B$23</f>
        <v>250286.13492873849</v>
      </c>
      <c r="AE28" s="42">
        <f>AC12*AC21*'Tab 11 - General'!$C$23+AD12*AD21*'Tab 11 - General'!$B$23</f>
        <v>242321.15499803604</v>
      </c>
      <c r="AF28" s="42">
        <f>AD12*AD21*'Tab 11 - General'!$C$23+AE12*AE21*'Tab 11 - General'!$B$23</f>
        <v>107143.70051035672</v>
      </c>
      <c r="AG28" s="42">
        <f>AE12*AE21*'Tab 11 - General'!$C$23+AF12*AF21*'Tab 11 - General'!$B$23</f>
        <v>0</v>
      </c>
      <c r="AH28" s="42">
        <f>AF12*AF21*'Tab 11 - General'!$C$23+AG12*AG21*'Tab 11 - General'!$B$23</f>
        <v>0</v>
      </c>
      <c r="AI28" s="42">
        <f>AG12*AG21*'Tab 11 - General'!$C$23+AH12*AH21*'Tab 11 - General'!$B$23</f>
        <v>0</v>
      </c>
      <c r="AJ28" s="42">
        <f>AH12*AH21*'Tab 11 - General'!$C$23+AI12*AI21*'Tab 11 - General'!$B$23</f>
        <v>0</v>
      </c>
      <c r="AK28" s="42">
        <f>AI12*AI21*'Tab 11 - General'!$C$23+AJ12*AJ21*'Tab 11 - General'!$B$23</f>
        <v>0</v>
      </c>
      <c r="AL28" s="42">
        <f>AJ12*AJ21*'Tab 11 - General'!$C$23+AK12*AK21*'Tab 11 - General'!$B$23</f>
        <v>0</v>
      </c>
      <c r="AM28" s="42">
        <f>AK12*AK21*'Tab 11 - General'!$C$23+AL12*AL21*'Tab 11 - General'!$B$23</f>
        <v>0</v>
      </c>
      <c r="AN28" s="42">
        <f>AL12*AL21*'Tab 11 - General'!$C$23+AM12*AM21*'Tab 11 - General'!$B$23</f>
        <v>0</v>
      </c>
      <c r="AO28" s="42">
        <f>AM12*AM21*'Tab 11 - General'!$C$23+AN12*AN21*'Tab 11 - General'!$B$23</f>
        <v>0</v>
      </c>
      <c r="AP28" s="42">
        <f>AN12*AN21*'Tab 11 - General'!$C$23+AO12*AO21*'Tab 11 - General'!$B$23</f>
        <v>0</v>
      </c>
      <c r="AQ28" s="42">
        <f>AO12*AO21*'Tab 11 - General'!$C$23+AP12*AP21*'Tab 11 - General'!$B$23</f>
        <v>0</v>
      </c>
      <c r="AR28" s="42"/>
      <c r="AS28" s="42"/>
      <c r="AT28" s="42"/>
    </row>
    <row r="29" spans="3:46" x14ac:dyDescent="0.25">
      <c r="E29" s="22"/>
      <c r="I29" s="22"/>
      <c r="J29" s="8"/>
      <c r="K29" s="63"/>
      <c r="L29" s="4" t="s">
        <v>139</v>
      </c>
      <c r="M29" s="42">
        <f t="shared" si="6"/>
        <v>71599922.474223733</v>
      </c>
      <c r="N29" s="42">
        <f t="shared" si="7"/>
        <v>52521312.000000015</v>
      </c>
      <c r="O29" s="43"/>
      <c r="P29" s="42">
        <f>-'Tab 4 - Balance'!L90*1000</f>
        <v>2572609.5233585383</v>
      </c>
      <c r="Q29" s="42">
        <f>-'Tab 4 - Balance'!M90*1000+P13*P22*'Tab 11 - General'!B23</f>
        <v>2030828.3566285158</v>
      </c>
      <c r="R29" s="42">
        <f>P13*P22*'Tab 11 - General'!$C$23+Q13*Q22*'Tab 11 - General'!$B$23</f>
        <v>2311876.2086336906</v>
      </c>
      <c r="S29" s="42">
        <f>Q13*Q22*'Tab 11 - General'!$C$23+R13*R22*'Tab 11 - General'!$B$23</f>
        <v>2430917.4554199241</v>
      </c>
      <c r="T29" s="42">
        <f>R13*R22*'Tab 11 - General'!$C$23+S13*S22*'Tab 11 - General'!$B$23</f>
        <v>2496882.9325370956</v>
      </c>
      <c r="U29" s="42">
        <f>S13*S22*'Tab 11 - General'!$C$23+T13*T22*'Tab 11 - General'!$B$23</f>
        <v>3698060.6724914797</v>
      </c>
      <c r="V29" s="42">
        <f>T13*T22*'Tab 11 - General'!$C$23+U13*U22*'Tab 11 - General'!$B$23</f>
        <v>4756795.2879286073</v>
      </c>
      <c r="W29" s="42">
        <f>U13*U22*'Tab 11 - General'!$C$23+V13*V22*'Tab 11 - General'!$B$23</f>
        <v>4887946.6689591389</v>
      </c>
      <c r="X29" s="42">
        <f>V13*V22*'Tab 11 - General'!$C$23+W13*W22*'Tab 11 - General'!$B$23</f>
        <v>5022391.9897586349</v>
      </c>
      <c r="Y29" s="42">
        <f>W13*W22*'Tab 11 - General'!$C$23+X13*X22*'Tab 11 - General'!$B$23</f>
        <v>5160199.0075585702</v>
      </c>
      <c r="Z29" s="42">
        <f>X13*X22*'Tab 11 - General'!$C$23+Y13*Y22*'Tab 11 - General'!$B$23</f>
        <v>5301436.1093632262</v>
      </c>
      <c r="AA29" s="42">
        <f>Y13*Y22*'Tab 11 - General'!$C$23+Z13*Z22*'Tab 11 - General'!$B$23</f>
        <v>5446172.2702010497</v>
      </c>
      <c r="AB29" s="42">
        <f>Z13*Z22*'Tab 11 - General'!$C$23+AA13*AA22*'Tab 11 - General'!$B$23</f>
        <v>5594477.0075796563</v>
      </c>
      <c r="AC29" s="42">
        <f>AA13*AA22*'Tab 11 - General'!$C$23+AB13*AB22*'Tab 11 - General'!$B$23</f>
        <v>5746420.3319261894</v>
      </c>
      <c r="AD29" s="42">
        <f>AB13*AB22*'Tab 11 - General'!$C$23+AC13*AC22*'Tab 11 - General'!$B$23</f>
        <v>5902072.6927839406</v>
      </c>
      <c r="AE29" s="42">
        <f>AC13*AC22*'Tab 11 - General'!$C$23+AD13*AD22*'Tab 11 - General'!$B$23</f>
        <v>5714248.1032957714</v>
      </c>
      <c r="AF29" s="42">
        <f>AD13*AD22*'Tab 11 - General'!$C$23+AE13*AE22*'Tab 11 - General'!$B$23</f>
        <v>2526587.8557997062</v>
      </c>
      <c r="AG29" s="42">
        <f>AE13*AE22*'Tab 11 - General'!$C$23+AF13*AF22*'Tab 11 - General'!$B$23</f>
        <v>0</v>
      </c>
      <c r="AH29" s="42">
        <f>AF13*AF22*'Tab 11 - General'!$C$23+AG13*AG22*'Tab 11 - General'!$B$23</f>
        <v>0</v>
      </c>
      <c r="AI29" s="42">
        <f>AG13*AG22*'Tab 11 - General'!$C$23+AH13*AH22*'Tab 11 - General'!$B$23</f>
        <v>0</v>
      </c>
      <c r="AJ29" s="42">
        <f>AH13*AH22*'Tab 11 - General'!$C$23+AI13*AI22*'Tab 11 - General'!$B$23</f>
        <v>0</v>
      </c>
      <c r="AK29" s="42">
        <f>AI13*AI22*'Tab 11 - General'!$C$23+AJ13*AJ22*'Tab 11 - General'!$B$23</f>
        <v>0</v>
      </c>
      <c r="AL29" s="42">
        <f>AJ13*AJ22*'Tab 11 - General'!$C$23+AK13*AK22*'Tab 11 - General'!$B$23</f>
        <v>0</v>
      </c>
      <c r="AM29" s="42">
        <f>AK13*AK22*'Tab 11 - General'!$C$23+AL13*AL22*'Tab 11 - General'!$B$23</f>
        <v>0</v>
      </c>
      <c r="AN29" s="42">
        <f>AL13*AL22*'Tab 11 - General'!$C$23+AM13*AM22*'Tab 11 - General'!$B$23</f>
        <v>0</v>
      </c>
      <c r="AO29" s="42">
        <f>AM13*AM22*'Tab 11 - General'!$C$23+AN13*AN22*'Tab 11 - General'!$B$23</f>
        <v>0</v>
      </c>
      <c r="AP29" s="42">
        <f>AN13*AN22*'Tab 11 - General'!$C$23+AO13*AO22*'Tab 11 - General'!$B$23</f>
        <v>0</v>
      </c>
      <c r="AQ29" s="42">
        <f>AO13*AO22*'Tab 11 - General'!$C$23+AP13*AP22*'Tab 11 - General'!$B$23</f>
        <v>0</v>
      </c>
      <c r="AR29" s="42"/>
      <c r="AS29" s="42"/>
      <c r="AT29" s="42"/>
    </row>
    <row r="30" spans="3:46" x14ac:dyDescent="0.25">
      <c r="E30" s="22"/>
      <c r="I30" s="22"/>
      <c r="J30" s="8"/>
      <c r="K30" s="63"/>
      <c r="L30" s="4" t="s">
        <v>140</v>
      </c>
      <c r="M30" s="42">
        <f t="shared" si="6"/>
        <v>36822665.209289946</v>
      </c>
      <c r="N30" s="42">
        <f t="shared" si="7"/>
        <v>27050684.000000011</v>
      </c>
      <c r="O30" s="43"/>
      <c r="P30" s="42">
        <f>-'Tab 4 - Balance'!L39*1000</f>
        <v>524807.82563389605</v>
      </c>
      <c r="Q30" s="42">
        <f>-'Tab 4 - Balance'!M39*1000+P14*P23*'Tab 11 - General'!B23</f>
        <v>962236.27996373246</v>
      </c>
      <c r="R30" s="42">
        <f>P14*P23*'Tab 11 - General'!$C$23+Q14*Q23*'Tab 11 - General'!$B$23</f>
        <v>1614113.2778136493</v>
      </c>
      <c r="S30" s="42">
        <f>Q14*Q23*'Tab 11 - General'!$C$23+R14*R23*'Tab 11 - General'!$B$23</f>
        <v>1697225.8840715373</v>
      </c>
      <c r="T30" s="42">
        <f>R14*R23*'Tab 11 - General'!$C$23+S14*S23*'Tab 11 - General'!$B$23</f>
        <v>1743281.876210955</v>
      </c>
      <c r="U30" s="42">
        <f>S14*S23*'Tab 11 - General'!$C$23+T14*T23*'Tab 11 - General'!$B$23</f>
        <v>2087733.8049326674</v>
      </c>
      <c r="V30" s="42">
        <f>T14*T23*'Tab 11 - General'!$C$23+U14*U23*'Tab 11 - General'!$B$23</f>
        <v>2392304.5465531396</v>
      </c>
      <c r="W30" s="42">
        <f>U14*U23*'Tab 11 - General'!$C$23+V14*V23*'Tab 11 - General'!$B$23</f>
        <v>2458263.6694782488</v>
      </c>
      <c r="X30" s="42">
        <f>V14*V23*'Tab 11 - General'!$C$23+W14*W23*'Tab 11 - General'!$B$23</f>
        <v>2525879.3924057512</v>
      </c>
      <c r="Y30" s="42">
        <f>W14*W23*'Tab 11 - General'!$C$23+X14*X23*'Tab 11 - General'!$B$23</f>
        <v>2595185.7920455127</v>
      </c>
      <c r="Z30" s="42">
        <f>X14*X23*'Tab 11 - General'!$C$23+Y14*Y23*'Tab 11 - General'!$B$23</f>
        <v>2666217.2618349981</v>
      </c>
      <c r="AA30" s="42">
        <f>Y14*Y23*'Tab 11 - General'!$C$23+Z14*Z23*'Tab 11 - General'!$B$23</f>
        <v>2739008.490942894</v>
      </c>
      <c r="AB30" s="42">
        <f>Z14*Z23*'Tab 11 - General'!$C$23+AA14*AA23*'Tab 11 - General'!$B$23</f>
        <v>2813594.4413634567</v>
      </c>
      <c r="AC30" s="42">
        <f>AA14*AA23*'Tab 11 - General'!$C$23+AB14*AB23*'Tab 11 - General'!$B$23</f>
        <v>2890010.3229917996</v>
      </c>
      <c r="AD30" s="42">
        <f>AB14*AB23*'Tab 11 - General'!$C$23+AC14*AC23*'Tab 11 - General'!$B$23</f>
        <v>2968291.5665649027</v>
      </c>
      <c r="AE30" s="42">
        <f>AC14*AC23*'Tab 11 - General'!$C$23+AD14*AD23*'Tab 11 - General'!$B$23</f>
        <v>2873830.1503826035</v>
      </c>
      <c r="AF30" s="42">
        <f>AD14*AD23*'Tab 11 - General'!$C$23+AE14*AE23*'Tab 11 - General'!$B$23</f>
        <v>1270680.626100196</v>
      </c>
      <c r="AG30" s="42">
        <f>AE14*AE23*'Tab 11 - General'!$C$23+AF14*AF23*'Tab 11 - General'!$B$23</f>
        <v>0</v>
      </c>
      <c r="AH30" s="42">
        <f>AF14*AF23*'Tab 11 - General'!$C$23+AG14*AG23*'Tab 11 - General'!$B$23</f>
        <v>0</v>
      </c>
      <c r="AI30" s="42">
        <f>AG14*AG23*'Tab 11 - General'!$C$23+AH14*AH23*'Tab 11 - General'!$B$23</f>
        <v>0</v>
      </c>
      <c r="AJ30" s="42">
        <f>AH14*AH23*'Tab 11 - General'!$C$23+AI14*AI23*'Tab 11 - General'!$B$23</f>
        <v>0</v>
      </c>
      <c r="AK30" s="42">
        <f>AI14*AI23*'Tab 11 - General'!$C$23+AJ14*AJ23*'Tab 11 - General'!$B$23</f>
        <v>0</v>
      </c>
      <c r="AL30" s="42">
        <f>AJ14*AJ23*'Tab 11 - General'!$C$23+AK14*AK23*'Tab 11 - General'!$B$23</f>
        <v>0</v>
      </c>
      <c r="AM30" s="42">
        <f>AK14*AK23*'Tab 11 - General'!$C$23+AL14*AL23*'Tab 11 - General'!$B$23</f>
        <v>0</v>
      </c>
      <c r="AN30" s="42">
        <f>AL14*AL23*'Tab 11 - General'!$C$23+AM14*AM23*'Tab 11 - General'!$B$23</f>
        <v>0</v>
      </c>
      <c r="AO30" s="42">
        <f>AM14*AM23*'Tab 11 - General'!$C$23+AN14*AN23*'Tab 11 - General'!$B$23</f>
        <v>0</v>
      </c>
      <c r="AP30" s="42">
        <f>AN14*AN23*'Tab 11 - General'!$C$23+AO14*AO23*'Tab 11 - General'!$B$23</f>
        <v>0</v>
      </c>
      <c r="AQ30" s="42">
        <f>AO14*AO23*'Tab 11 - General'!$C$23+AP14*AP23*'Tab 11 - General'!$B$23</f>
        <v>0</v>
      </c>
      <c r="AR30" s="42"/>
      <c r="AS30" s="42"/>
      <c r="AT30" s="42"/>
    </row>
    <row r="31" spans="3:46" x14ac:dyDescent="0.25">
      <c r="E31" s="22"/>
      <c r="I31" s="22"/>
      <c r="J31" s="8"/>
      <c r="K31" s="63"/>
      <c r="L31" s="4" t="s">
        <v>141</v>
      </c>
      <c r="M31" s="42">
        <f t="shared" si="6"/>
        <v>0</v>
      </c>
      <c r="N31" s="42">
        <f t="shared" si="7"/>
        <v>0</v>
      </c>
      <c r="O31" s="43"/>
      <c r="P31" s="42"/>
      <c r="Q31" s="42">
        <f>P15*P24*'Tab 11 - General'!B23</f>
        <v>0</v>
      </c>
      <c r="R31" s="42">
        <f>P15*P24*'Tab 11 - General'!$C$23+Q15*Q24*'Tab 11 - General'!$B$23</f>
        <v>0</v>
      </c>
      <c r="S31" s="42">
        <f>Q15*Q24*'Tab 11 - General'!$C$23+R15*R24*'Tab 11 - General'!$B$23</f>
        <v>0</v>
      </c>
      <c r="T31" s="42">
        <f>R15*R24*'Tab 11 - General'!$C$23+S15*S24*'Tab 11 - General'!$B$23</f>
        <v>0</v>
      </c>
      <c r="U31" s="42">
        <f>S15*S24*'Tab 11 - General'!$C$23+T15*T24*'Tab 11 - General'!$B$23</f>
        <v>0</v>
      </c>
      <c r="V31" s="42">
        <f>T15*T24*'Tab 11 - General'!$C$23+U15*U24*'Tab 11 - General'!$B$23</f>
        <v>0</v>
      </c>
      <c r="W31" s="42">
        <f>U15*U24*'Tab 11 - General'!$C$23+V15*V24*'Tab 11 - General'!$B$23</f>
        <v>0</v>
      </c>
      <c r="X31" s="42">
        <f>V15*V24*'Tab 11 - General'!$C$23+W15*W24*'Tab 11 - General'!$B$23</f>
        <v>0</v>
      </c>
      <c r="Y31" s="42">
        <f>W15*W24*'Tab 11 - General'!$C$23+X15*X24*'Tab 11 - General'!$B$23</f>
        <v>0</v>
      </c>
      <c r="Z31" s="42">
        <f>X15*X24*'Tab 11 - General'!$C$23+Y15*Y24*'Tab 11 - General'!$B$23</f>
        <v>0</v>
      </c>
      <c r="AA31" s="42">
        <f>Y15*Y24*'Tab 11 - General'!$C$23+Z15*Z24*'Tab 11 - General'!$B$23</f>
        <v>0</v>
      </c>
      <c r="AB31" s="42">
        <f>Z15*Z24*'Tab 11 - General'!$C$23+AA15*AA24*'Tab 11 - General'!$B$23</f>
        <v>0</v>
      </c>
      <c r="AC31" s="42">
        <f>AA15*AA24*'Tab 11 - General'!$C$23+AB15*AB24*'Tab 11 - General'!$B$23</f>
        <v>0</v>
      </c>
      <c r="AD31" s="42">
        <f>AB15*AB24*'Tab 11 - General'!$C$23+AC15*AC24*'Tab 11 - General'!$B$23</f>
        <v>0</v>
      </c>
      <c r="AE31" s="42">
        <f>AC15*AC24*'Tab 11 - General'!$C$23+AD15*AD24*'Tab 11 - General'!$B$23</f>
        <v>0</v>
      </c>
      <c r="AF31" s="42">
        <f>AD15*AD24*'Tab 11 - General'!$C$23+AE15*AE24*'Tab 11 - General'!$B$23</f>
        <v>0</v>
      </c>
      <c r="AG31" s="42">
        <f>AE15*AE24*'Tab 11 - General'!$C$23+AF15*AF24*'Tab 11 - General'!$B$23</f>
        <v>0</v>
      </c>
      <c r="AH31" s="42">
        <f>AF15*AF24*'Tab 11 - General'!$C$23+AG15*AG24*'Tab 11 - General'!$B$23</f>
        <v>0</v>
      </c>
      <c r="AI31" s="42">
        <f>AG15*AG24*'Tab 11 - General'!$C$23+AH15*AH24*'Tab 11 - General'!$B$23</f>
        <v>0</v>
      </c>
      <c r="AJ31" s="42">
        <f>AH15*AH24*'Tab 11 - General'!$C$23+AI15*AI24*'Tab 11 - General'!$B$23</f>
        <v>0</v>
      </c>
      <c r="AK31" s="42">
        <f>AI15*AI24*'Tab 11 - General'!$C$23+AJ15*AJ24*'Tab 11 - General'!$B$23</f>
        <v>0</v>
      </c>
      <c r="AL31" s="42">
        <f>AJ15*AJ24*'Tab 11 - General'!$C$23+AK15*AK24*'Tab 11 - General'!$B$23</f>
        <v>0</v>
      </c>
      <c r="AM31" s="42">
        <f>AK15*AK24*'Tab 11 - General'!$C$23+AL15*AL24*'Tab 11 - General'!$B$23</f>
        <v>0</v>
      </c>
      <c r="AN31" s="42">
        <f>AL15*AL24*'Tab 11 - General'!$C$23+AM15*AM24*'Tab 11 - General'!$B$23</f>
        <v>0</v>
      </c>
      <c r="AO31" s="42">
        <f>AM15*AM24*'Tab 11 - General'!$C$23+AN15*AN24*'Tab 11 - General'!$B$23</f>
        <v>0</v>
      </c>
      <c r="AP31" s="42">
        <f>AN15*AN24*'Tab 11 - General'!$C$23+AO15*AO24*'Tab 11 - General'!$B$23</f>
        <v>0</v>
      </c>
      <c r="AQ31" s="42">
        <f>AO15*AO24*'Tab 11 - General'!$C$23+AP15*AP24*'Tab 11 - General'!$B$23</f>
        <v>0</v>
      </c>
      <c r="AR31" s="42"/>
      <c r="AS31" s="42"/>
      <c r="AT31" s="42"/>
    </row>
    <row r="32" spans="3:46" x14ac:dyDescent="0.25">
      <c r="E32" s="22"/>
      <c r="I32" s="22"/>
      <c r="J32" s="8"/>
      <c r="K32" s="63"/>
      <c r="L32" s="4" t="s">
        <v>142</v>
      </c>
      <c r="M32" s="42">
        <f t="shared" si="6"/>
        <v>14208941.088150691</v>
      </c>
      <c r="N32" s="42">
        <f t="shared" si="7"/>
        <v>10884954.999999991</v>
      </c>
      <c r="O32" s="43"/>
      <c r="P32" s="42">
        <f>'Tab 4 - Balance'!L56*-1000</f>
        <v>1242813.1667420135</v>
      </c>
      <c r="Q32" s="42">
        <f>'Tab 4 - Balance'!M56*-1000+P16*P25*'Tab 11 - General'!B23</f>
        <v>768968.8021290343</v>
      </c>
      <c r="R32" s="42">
        <f>P16*P25*'Tab 11 - General'!$C$23+Q16*Q25*'Tab 11 - General'!$B$23</f>
        <v>645541.30285293772</v>
      </c>
      <c r="S32" s="42">
        <f>Q16*Q25*'Tab 11 - General'!$C$23+R16*R25*'Tab 11 - General'!$B$23</f>
        <v>678780.98984683561</v>
      </c>
      <c r="T32" s="42">
        <f>R16*R25*'Tab 11 - General'!$C$23+S16*S25*'Tab 11 - General'!$B$23</f>
        <v>697200.41900247429</v>
      </c>
      <c r="U32" s="42">
        <f>S16*S25*'Tab 11 - General'!$C$23+T16*T25*'Tab 11 - General'!$B$23</f>
        <v>751379.58282911952</v>
      </c>
      <c r="V32" s="42">
        <f>T16*T25*'Tab 11 - General'!$C$23+U16*U25*'Tab 11 - General'!$B$23</f>
        <v>799683.59257424902</v>
      </c>
      <c r="W32" s="42">
        <f>U16*U25*'Tab 11 - General'!$C$23+V16*V25*'Tab 11 - General'!$B$23</f>
        <v>821731.96783641842</v>
      </c>
      <c r="X32" s="42">
        <f>V16*V25*'Tab 11 - General'!$C$23+W16*W25*'Tab 11 - General'!$B$23</f>
        <v>844334.10028777237</v>
      </c>
      <c r="Y32" s="42">
        <f>W16*W25*'Tab 11 - General'!$C$23+X16*X25*'Tab 11 - General'!$B$23</f>
        <v>867501.38086338528</v>
      </c>
      <c r="Z32" s="42">
        <f>X16*X25*'Tab 11 - General'!$C$23+Y16*Y25*'Tab 11 - General'!$B$23</f>
        <v>891245.30637191935</v>
      </c>
      <c r="AA32" s="42">
        <f>Y16*Y25*'Tab 11 - General'!$C$23+Z16*Z25*'Tab 11 - General'!$B$23</f>
        <v>915577.47247709474</v>
      </c>
      <c r="AB32" s="42">
        <f>Z16*Z25*'Tab 11 - General'!$C$23+AA16*AA25*'Tab 11 - General'!$B$23</f>
        <v>940509.56604094221</v>
      </c>
      <c r="AC32" s="42">
        <f>AA16*AA25*'Tab 11 - General'!$C$23+AB16*AB25*'Tab 11 - General'!$B$23</f>
        <v>966053.35679213551</v>
      </c>
      <c r="AD32" s="42">
        <f>AB16*AB25*'Tab 11 - General'!$C$23+AC16*AC25*'Tab 11 - General'!$B$23</f>
        <v>992220.68828089372</v>
      </c>
      <c r="AE32" s="42">
        <f>AC16*AC25*'Tab 11 - General'!$C$23+AD16*AD25*'Tab 11 - General'!$B$23</f>
        <v>960644.75671266997</v>
      </c>
      <c r="AF32" s="42">
        <f>AD16*AD25*'Tab 11 - General'!$C$23+AE16*AE25*'Tab 11 - General'!$B$23</f>
        <v>424754.63651079498</v>
      </c>
      <c r="AG32" s="42">
        <f>AE16*AE25*'Tab 11 - General'!$C$23+AF16*AF25*'Tab 11 - General'!$B$23</f>
        <v>0</v>
      </c>
      <c r="AH32" s="42">
        <f>AF16*AF25*'Tab 11 - General'!$C$23+AG16*AG25*'Tab 11 - General'!$B$23</f>
        <v>0</v>
      </c>
      <c r="AI32" s="42">
        <f>AG16*AG25*'Tab 11 - General'!$C$23+AH16*AH25*'Tab 11 - General'!$B$23</f>
        <v>0</v>
      </c>
      <c r="AJ32" s="42">
        <f>AH16*AH25*'Tab 11 - General'!$C$23+AI16*AI25*'Tab 11 - General'!$B$23</f>
        <v>0</v>
      </c>
      <c r="AK32" s="42">
        <f>AI16*AI25*'Tab 11 - General'!$C$23+AJ16*AJ25*'Tab 11 - General'!$B$23</f>
        <v>0</v>
      </c>
      <c r="AL32" s="42">
        <f>AJ16*AJ25*'Tab 11 - General'!$C$23+AK16*AK25*'Tab 11 - General'!$B$23</f>
        <v>0</v>
      </c>
      <c r="AM32" s="42">
        <f>AK16*AK25*'Tab 11 - General'!$C$23+AL16*AL25*'Tab 11 - General'!$B$23</f>
        <v>0</v>
      </c>
      <c r="AN32" s="42">
        <f>AL16*AL25*'Tab 11 - General'!$C$23+AM16*AM25*'Tab 11 - General'!$B$23</f>
        <v>0</v>
      </c>
      <c r="AO32" s="42">
        <f>AM16*AM25*'Tab 11 - General'!$C$23+AN16*AN25*'Tab 11 - General'!$B$23</f>
        <v>0</v>
      </c>
      <c r="AP32" s="42">
        <f>AN16*AN25*'Tab 11 - General'!$C$23+AO16*AO25*'Tab 11 - General'!$B$23</f>
        <v>0</v>
      </c>
      <c r="AQ32" s="42">
        <f>AO16*AO25*'Tab 11 - General'!$C$23+AP16*AP25*'Tab 11 - General'!$B$23</f>
        <v>0</v>
      </c>
      <c r="AR32" s="42"/>
      <c r="AS32" s="42"/>
      <c r="AT32" s="42"/>
    </row>
    <row r="33" spans="1:44" x14ac:dyDescent="0.25">
      <c r="L33" s="4"/>
      <c r="M33" s="133">
        <f>SUM(M27:M32)</f>
        <v>140923422.90719837</v>
      </c>
      <c r="N33" s="133">
        <f t="shared" ref="N33:AQ33" si="8">SUM(N27:N32)</f>
        <v>105380749.00000003</v>
      </c>
      <c r="O33" s="180"/>
      <c r="P33" s="133">
        <f t="shared" si="8"/>
        <v>8248031.4714202415</v>
      </c>
      <c r="Q33" s="133">
        <f t="shared" si="8"/>
        <v>5577294.1372085409</v>
      </c>
      <c r="R33" s="133">
        <f t="shared" si="8"/>
        <v>5364113.7716894643</v>
      </c>
      <c r="S33" s="133">
        <f t="shared" si="8"/>
        <v>5640318.3491233485</v>
      </c>
      <c r="T33" s="133">
        <f t="shared" si="8"/>
        <v>5793374.2622984787</v>
      </c>
      <c r="U33" s="133">
        <f t="shared" si="8"/>
        <v>7355743.6320263874</v>
      </c>
      <c r="V33" s="133">
        <f t="shared" si="8"/>
        <v>8735231.5347946119</v>
      </c>
      <c r="W33" s="133">
        <f t="shared" si="8"/>
        <v>8976073.8687746059</v>
      </c>
      <c r="X33" s="133">
        <f t="shared" si="8"/>
        <v>9222965.0917233117</v>
      </c>
      <c r="Y33" s="133">
        <f t="shared" si="8"/>
        <v>9476029.6309219692</v>
      </c>
      <c r="Z33" s="133">
        <f t="shared" si="8"/>
        <v>9735393.0701470934</v>
      </c>
      <c r="AA33" s="133">
        <f t="shared" si="8"/>
        <v>10001182.073004564</v>
      </c>
      <c r="AB33" s="133">
        <f t="shared" si="8"/>
        <v>10273524.299292205</v>
      </c>
      <c r="AC33" s="133">
        <f t="shared" si="8"/>
        <v>10552548.313989993</v>
      </c>
      <c r="AD33" s="133">
        <f t="shared" si="8"/>
        <v>10838383.488457201</v>
      </c>
      <c r="AE33" s="133">
        <f t="shared" si="8"/>
        <v>10493468.229801754</v>
      </c>
      <c r="AF33" s="133">
        <f t="shared" si="8"/>
        <v>4639747.682524601</v>
      </c>
      <c r="AG33" s="133">
        <f t="shared" si="8"/>
        <v>0</v>
      </c>
      <c r="AH33" s="133">
        <f t="shared" si="8"/>
        <v>0</v>
      </c>
      <c r="AI33" s="133">
        <f t="shared" si="8"/>
        <v>0</v>
      </c>
      <c r="AJ33" s="133">
        <f t="shared" si="8"/>
        <v>0</v>
      </c>
      <c r="AK33" s="133">
        <f t="shared" si="8"/>
        <v>0</v>
      </c>
      <c r="AL33" s="133">
        <f t="shared" si="8"/>
        <v>0</v>
      </c>
      <c r="AM33" s="133">
        <f t="shared" si="8"/>
        <v>0</v>
      </c>
      <c r="AN33" s="133">
        <f t="shared" si="8"/>
        <v>0</v>
      </c>
      <c r="AO33" s="133">
        <f t="shared" si="8"/>
        <v>0</v>
      </c>
      <c r="AP33" s="133">
        <f t="shared" si="8"/>
        <v>0</v>
      </c>
      <c r="AQ33" s="133">
        <f t="shared" si="8"/>
        <v>0</v>
      </c>
    </row>
    <row r="34" spans="1:44" x14ac:dyDescent="0.25">
      <c r="L34" s="4"/>
      <c r="M34" s="42"/>
      <c r="N34" s="42"/>
      <c r="O34" s="43"/>
      <c r="P34" s="42"/>
      <c r="Q34" s="42"/>
      <c r="R34" s="42"/>
      <c r="S34" s="42"/>
      <c r="T34" s="49"/>
      <c r="U34" s="42"/>
      <c r="V34" s="42"/>
      <c r="W34" s="42"/>
      <c r="X34" s="42"/>
      <c r="Y34" s="42"/>
      <c r="Z34" s="42"/>
      <c r="AA34" s="42"/>
      <c r="AB34" s="42"/>
      <c r="AC34" s="42"/>
      <c r="AD34" s="42"/>
      <c r="AE34" s="42"/>
      <c r="AF34" s="42"/>
      <c r="AG34" s="42"/>
      <c r="AH34" s="42"/>
      <c r="AI34" s="42"/>
      <c r="AJ34" s="42"/>
      <c r="AK34" s="42"/>
      <c r="AL34" s="42"/>
      <c r="AM34" s="42"/>
      <c r="AN34" s="49"/>
      <c r="AO34" s="42"/>
      <c r="AP34" s="42"/>
      <c r="AQ34" s="42"/>
    </row>
    <row r="35" spans="1:44" x14ac:dyDescent="0.25">
      <c r="A35" s="22"/>
      <c r="B35" s="22"/>
      <c r="C35" s="22"/>
      <c r="E35" s="22"/>
      <c r="F35" s="22"/>
      <c r="G35" s="22"/>
      <c r="H35" s="22"/>
      <c r="I35" s="22"/>
      <c r="J35" s="30"/>
      <c r="K35" s="63"/>
      <c r="L35" s="4" t="s">
        <v>143</v>
      </c>
      <c r="M35" s="42">
        <f t="shared" ref="M35:M40" si="9">SUM(O35:AQ35)</f>
        <v>17126409.668992829</v>
      </c>
      <c r="N35" s="42">
        <f t="shared" ref="N35:N40" si="10">O35+(NPV($B$7,Q35:AQ35)+P35)</f>
        <v>8359399.3372921068</v>
      </c>
      <c r="O35" s="43">
        <f>-'Tab 4 - Balance'!N26*1000</f>
        <v>-11264127.702317705</v>
      </c>
      <c r="P35" s="40">
        <f>'Tab 6 - Bow'!AA139*1000</f>
        <v>1203382.3193869959</v>
      </c>
      <c r="Q35" s="40">
        <f>'Tab 6 - Bow'!AB139*1000</f>
        <v>1204556.8748387129</v>
      </c>
      <c r="R35" s="40">
        <f>'Tab 6 - Bow'!AC139*1000</f>
        <v>1204344.9815005863</v>
      </c>
      <c r="S35" s="40">
        <f>'Tab 6 - Bow'!AD139*1000</f>
        <v>1204122.8974262751</v>
      </c>
      <c r="T35" s="40">
        <f>'Tab 6 - Bow'!AE139*1000</f>
        <v>1203890.142645082</v>
      </c>
      <c r="U35" s="40">
        <f>'Tab 6 - Bow'!AF139*1000</f>
        <v>1203646.1578559927</v>
      </c>
      <c r="V35" s="40">
        <f>'Tab 6 - Bow'!AG139*1000</f>
        <v>1203390.4347340029</v>
      </c>
      <c r="W35" s="40">
        <f>'Tab 6 - Bow'!AH139*1000</f>
        <v>1203122.3458050315</v>
      </c>
      <c r="X35" s="40">
        <f>'Tab 6 - Bow'!AI139*1000</f>
        <v>1202841.3665047917</v>
      </c>
      <c r="Y35" s="40">
        <f>'Tab 6 - Bow'!AJ139*1000</f>
        <v>1202546.7580371613</v>
      </c>
      <c r="Z35" s="40">
        <f>'Tab 6 - Bow'!AK139*1000</f>
        <v>1202237.9147636725</v>
      </c>
      <c r="AA35" s="40">
        <f>'Tab 6 - Bow'!AL139*1000</f>
        <v>1201914.1352094696</v>
      </c>
      <c r="AB35" s="40">
        <f>'Tab 6 - Bow'!AM139*1000</f>
        <v>1201574.6334941683</v>
      </c>
      <c r="AC35" s="40">
        <f>'Tab 6 - Bow'!AN139*1000</f>
        <v>1201218.7035162838</v>
      </c>
      <c r="AD35" s="40">
        <f>'Tab 6 - Bow'!AO139*1000</f>
        <v>1200845.4857188095</v>
      </c>
      <c r="AE35" s="40">
        <f>'Tab 6 - Bow'!AP139*1000</f>
        <v>1199077.3924981535</v>
      </c>
      <c r="AF35" s="40">
        <f>'Tab 6 - Bow'!AQ139*1000</f>
        <v>1197290.2827513472</v>
      </c>
      <c r="AG35" s="40">
        <f>'Tab 6 - Bow'!AR139*1000</f>
        <v>1196859.9598676213</v>
      </c>
      <c r="AH35" s="40">
        <f>'Tab 6 - Bow'!AS139*1000</f>
        <v>1196408.6696701173</v>
      </c>
      <c r="AI35" s="40">
        <f>'Tab 6 - Bow'!AT139*1000</f>
        <v>1195935.4065873141</v>
      </c>
      <c r="AJ35" s="40">
        <f>'Tab 6 - Bow'!AU139*1000</f>
        <v>1193138.3401688677</v>
      </c>
      <c r="AK35" s="40">
        <f>'Tab 6 - Bow'!AV139*1000</f>
        <v>1181908.5666034762</v>
      </c>
      <c r="AL35" s="40">
        <f>'Tab 6 - Bow'!AW139*1000</f>
        <v>1123680.9903820739</v>
      </c>
      <c r="AM35" s="40">
        <f>'Tab 6 - Bow'!AX139*1000</f>
        <v>811217.2436094986</v>
      </c>
      <c r="AN35" s="40">
        <f>'Tab 6 - Bow'!AY139*1000</f>
        <v>51385.367735029351</v>
      </c>
      <c r="AO35" s="40">
        <f>'Tab 6 - Bow'!AZ139*1000</f>
        <v>0</v>
      </c>
      <c r="AP35" s="40">
        <f>'Tab 6 - Bow'!BA139*1000</f>
        <v>0</v>
      </c>
      <c r="AQ35" s="40">
        <f>'Tab 6 - Bow'!BB139*1000</f>
        <v>0</v>
      </c>
      <c r="AR35" s="40"/>
    </row>
    <row r="36" spans="1:44" x14ac:dyDescent="0.25">
      <c r="A36" s="22"/>
      <c r="B36" s="22"/>
      <c r="C36" s="22"/>
      <c r="E36" s="22"/>
      <c r="F36" s="22"/>
      <c r="G36" s="22"/>
      <c r="H36" s="22"/>
      <c r="I36" s="22"/>
      <c r="J36" s="30"/>
      <c r="K36" s="63"/>
      <c r="L36" s="4" t="s">
        <v>144</v>
      </c>
      <c r="M36" s="42">
        <f t="shared" si="9"/>
        <v>20293971.287053466</v>
      </c>
      <c r="N36" s="42">
        <f t="shared" si="10"/>
        <v>6564399.3342671767</v>
      </c>
      <c r="O36" s="43">
        <f>'Tab 4 - Balance'!N77*-1000</f>
        <v>-27218928.71131181</v>
      </c>
      <c r="P36" s="40">
        <f>'Tab 7 - Nose'!AA139*1000</f>
        <v>2258729.743208569</v>
      </c>
      <c r="Q36" s="40">
        <f>'Tab 7 - Nose'!AB139*1000</f>
        <v>2285051.6732001179</v>
      </c>
      <c r="R36" s="40">
        <f>'Tab 7 - Nose'!AC139*1000</f>
        <v>2288101.8848975417</v>
      </c>
      <c r="S36" s="40">
        <f>'Tab 7 - Nose'!AD139*1000</f>
        <v>2287890.1542079099</v>
      </c>
      <c r="T36" s="40">
        <f>'Tab 7 - Nose'!AE139*1000</f>
        <v>2287670.2445374685</v>
      </c>
      <c r="U36" s="40">
        <f>'Tab 7 - Nose'!AF139*1000</f>
        <v>2287441.7739844993</v>
      </c>
      <c r="V36" s="40">
        <f>'Tab 7 - Nose'!AG139*1000</f>
        <v>2287204.436866974</v>
      </c>
      <c r="W36" s="40">
        <f>'Tab 7 - Nose'!AH139*1000</f>
        <v>2286957.8341619656</v>
      </c>
      <c r="X36" s="40">
        <f>'Tab 7 - Nose'!AI139*1000</f>
        <v>2286701.6019784124</v>
      </c>
      <c r="Y36" s="40">
        <f>'Tab 7 - Nose'!AJ139*1000</f>
        <v>2286435.3154410329</v>
      </c>
      <c r="Z36" s="40">
        <f>'Tab 7 - Nose'!AK139*1000</f>
        <v>2286158.5465719081</v>
      </c>
      <c r="AA36" s="40">
        <f>'Tab 7 - Nose'!AL139*1000</f>
        <v>2285870.8866191828</v>
      </c>
      <c r="AB36" s="40">
        <f>'Tab 7 - Nose'!AM139*1000</f>
        <v>2285571.8510968145</v>
      </c>
      <c r="AC36" s="40">
        <f>'Tab 7 - Nose'!AN139*1000</f>
        <v>2285261.0759427068</v>
      </c>
      <c r="AD36" s="40">
        <f>'Tab 7 - Nose'!AO139*1000</f>
        <v>1529044.2583191544</v>
      </c>
      <c r="AE36" s="40">
        <f>'Tab 7 - Nose'!AP139*1000</f>
        <v>1505646.154661369</v>
      </c>
      <c r="AF36" s="40">
        <f>'Tab 7 - Nose'!AQ139*1000</f>
        <v>1478986.8912649322</v>
      </c>
      <c r="AG36" s="40">
        <f>'Tab 7 - Nose'!AR139*1000</f>
        <v>1475584.3666560915</v>
      </c>
      <c r="AH36" s="40">
        <f>'Tab 7 - Nose'!AS139*1000</f>
        <v>1475428.0761853303</v>
      </c>
      <c r="AI36" s="40">
        <f>'Tab 7 - Nose'!AT139*1000</f>
        <v>1475263.5372877421</v>
      </c>
      <c r="AJ36" s="40">
        <f>'Tab 7 - Nose'!AU139*1000</f>
        <v>1475090.2820834126</v>
      </c>
      <c r="AK36" s="40">
        <f>'Tab 7 - Nose'!AV139*1000</f>
        <v>1474907.8868252514</v>
      </c>
      <c r="AL36" s="40">
        <f>'Tab 7 - Nose'!AW139*1000</f>
        <v>1474715.8326919307</v>
      </c>
      <c r="AM36" s="40">
        <f>'Tab 7 - Nose'!AX139*1000</f>
        <v>1461186.3125046059</v>
      </c>
      <c r="AN36" s="40">
        <f>'Tab 7 - Nose'!AY139*1000</f>
        <v>701999.37717035227</v>
      </c>
      <c r="AO36" s="40">
        <f>'Tab 7 - Nose'!AZ139*1000</f>
        <v>0</v>
      </c>
      <c r="AP36" s="40">
        <f>'Tab 7 - Nose'!BA139*1000</f>
        <v>0</v>
      </c>
      <c r="AQ36" s="40">
        <f>'Tab 7 - Nose'!BB139*1000</f>
        <v>0</v>
      </c>
      <c r="AR36" s="40"/>
    </row>
    <row r="37" spans="1:44" x14ac:dyDescent="0.25">
      <c r="A37" s="22"/>
      <c r="B37" s="22"/>
      <c r="C37" s="22"/>
      <c r="E37" s="22"/>
      <c r="F37" s="22"/>
      <c r="G37" s="22"/>
      <c r="H37" s="22"/>
      <c r="I37" s="22"/>
      <c r="J37" s="30"/>
      <c r="K37" s="63"/>
      <c r="L37" s="4" t="s">
        <v>145</v>
      </c>
      <c r="M37" s="42">
        <f t="shared" si="9"/>
        <v>63134854.471924216</v>
      </c>
      <c r="N37" s="42">
        <f t="shared" si="10"/>
        <v>52521311.751759753</v>
      </c>
      <c r="O37" s="43">
        <f>-'Tab 4 - Balance'!N94*1000</f>
        <v>14282066.308580086</v>
      </c>
      <c r="P37" s="40">
        <f>'Tab 8 - Shepard'!AA139*1000</f>
        <v>3365051.7438723845</v>
      </c>
      <c r="Q37" s="40">
        <f>'Tab 8 - Shepard'!AB139*1000</f>
        <v>3662140.4792854465</v>
      </c>
      <c r="R37" s="40">
        <f>'Tab 8 - Shepard'!AC139*1000</f>
        <v>4178774.1406729436</v>
      </c>
      <c r="S37" s="40">
        <f>'Tab 8 - Shepard'!AD139*1000</f>
        <v>2895218.4674752154</v>
      </c>
      <c r="T37" s="40">
        <f>'Tab 8 - Shepard'!AE139*1000</f>
        <v>2895006.0741630597</v>
      </c>
      <c r="U37" s="40">
        <f>'Tab 8 - Shepard'!AF139*1000</f>
        <v>2894784.875051707</v>
      </c>
      <c r="V37" s="40">
        <f>'Tab 8 - Shepard'!AG139*1000</f>
        <v>2894554.5250119665</v>
      </c>
      <c r="W37" s="40">
        <f>'Tab 8 - Shepard'!AH139*1000</f>
        <v>2894314.6030083401</v>
      </c>
      <c r="X37" s="40">
        <f>'Tab 8 - Shepard'!AI139*1000</f>
        <v>2894064.6903712223</v>
      </c>
      <c r="Y37" s="40">
        <f>'Tab 8 - Shepard'!AJ139*1000</f>
        <v>2893804.4053721633</v>
      </c>
      <c r="Z37" s="40">
        <f>'Tab 8 - Shepard'!AK139*1000</f>
        <v>2893533.2581446017</v>
      </c>
      <c r="AA37" s="40">
        <f>'Tab 8 - Shepard'!AL139*1000</f>
        <v>2757740.2382410462</v>
      </c>
      <c r="AB37" s="40">
        <f>'Tab 8 - Shepard'!AM139*1000</f>
        <v>2720039.3151377728</v>
      </c>
      <c r="AC37" s="40">
        <f>'Tab 8 - Shepard'!AN139*1000</f>
        <v>2255875.9119153228</v>
      </c>
      <c r="AD37" s="40">
        <f>'Tab 8 - Shepard'!AO139*1000</f>
        <v>1937988.9092462813</v>
      </c>
      <c r="AE37" s="40">
        <f>'Tab 8 - Shepard'!AP139*1000</f>
        <v>1763011.8224619867</v>
      </c>
      <c r="AF37" s="40">
        <f>'Tab 8 - Shepard'!AQ139*1000</f>
        <v>1465678.7831283605</v>
      </c>
      <c r="AG37" s="40">
        <f>'Tab 8 - Shepard'!AR139*1000</f>
        <v>725211.00742198294</v>
      </c>
      <c r="AH37" s="40">
        <f>'Tab 8 - Shepard'!AS139*1000</f>
        <v>133426.35621111339</v>
      </c>
      <c r="AI37" s="40">
        <f>'Tab 8 - Shepard'!AT139*1000</f>
        <v>133360.54745106635</v>
      </c>
      <c r="AJ37" s="40">
        <f>'Tab 8 - Shepard'!AU139*1000</f>
        <v>133291.19153987811</v>
      </c>
      <c r="AK37" s="40">
        <f>'Tab 8 - Shepard'!AV139*1000</f>
        <v>133218.09767724277</v>
      </c>
      <c r="AL37" s="40">
        <f>'Tab 8 - Shepard'!AW139*1000</f>
        <v>133141.04904463104</v>
      </c>
      <c r="AM37" s="40">
        <f>'Tab 8 - Shepard'!AX139*1000</f>
        <v>133059.83749625456</v>
      </c>
      <c r="AN37" s="40">
        <f>'Tab 8 - Shepard'!AY139*1000</f>
        <v>66497.833942144935</v>
      </c>
      <c r="AO37" s="40">
        <f>'Tab 8 - Shepard'!AZ139*1000</f>
        <v>0</v>
      </c>
      <c r="AP37" s="40">
        <f>'Tab 8 - Shepard'!BA139*1000</f>
        <v>0</v>
      </c>
      <c r="AQ37" s="40">
        <f>'Tab 8 - Shepard'!BB139*1000</f>
        <v>0</v>
      </c>
      <c r="AR37" s="40"/>
    </row>
    <row r="38" spans="1:44" x14ac:dyDescent="0.25">
      <c r="A38" s="22"/>
      <c r="B38" s="22"/>
      <c r="C38" s="22"/>
      <c r="E38" s="22"/>
      <c r="F38" s="22"/>
      <c r="G38" s="22"/>
      <c r="H38" s="22"/>
      <c r="I38" s="22"/>
      <c r="J38" s="30"/>
      <c r="K38" s="63"/>
      <c r="L38" s="4" t="s">
        <v>146</v>
      </c>
      <c r="M38" s="42">
        <f t="shared" si="9"/>
        <v>37177139.602717109</v>
      </c>
      <c r="N38" s="42">
        <f t="shared" si="10"/>
        <v>27050684.037017401</v>
      </c>
      <c r="O38" s="43">
        <f>-'Tab 4 - Balance'!N43*1000</f>
        <v>-1250590.9462222548</v>
      </c>
      <c r="P38" s="40">
        <f>'Tab 9 - Fish'!AA139*1000</f>
        <v>1240240.1420917814</v>
      </c>
      <c r="Q38" s="40">
        <f>'Tab 9 - Fish'!AB139*1000</f>
        <v>2002290.1351088013</v>
      </c>
      <c r="R38" s="40">
        <f>'Tab 9 - Fish'!AC139*1000</f>
        <v>2166489.4200399369</v>
      </c>
      <c r="S38" s="40">
        <f>'Tab 9 - Fish'!AD139*1000</f>
        <v>2168985.2459004135</v>
      </c>
      <c r="T38" s="40">
        <f>'Tab 9 - Fish'!AE139*1000</f>
        <v>2168964.408118689</v>
      </c>
      <c r="U38" s="40">
        <f>'Tab 9 - Fish'!AF139*1000</f>
        <v>2168942.6744778547</v>
      </c>
      <c r="V38" s="40">
        <f>'Tab 9 - Fish'!AG139*1000</f>
        <v>2168920.0149466307</v>
      </c>
      <c r="W38" s="40">
        <f>'Tab 9 - Fish'!AH139*1000</f>
        <v>2168896.3838595762</v>
      </c>
      <c r="X38" s="40">
        <f>'Tab 9 - Fish'!AI139*1000</f>
        <v>2168871.750130381</v>
      </c>
      <c r="Y38" s="40">
        <f>'Tab 9 - Fish'!AJ139*1000</f>
        <v>2168846.0498647345</v>
      </c>
      <c r="Z38" s="40">
        <f>'Tab 9 - Fish'!AK139*1000</f>
        <v>2168819.2529398324</v>
      </c>
      <c r="AA38" s="40">
        <f>'Tab 9 - Fish'!AL139*1000</f>
        <v>2168791.2983373627</v>
      </c>
      <c r="AB38" s="40">
        <f>'Tab 9 - Fish'!AM139*1000</f>
        <v>2168762.1378665343</v>
      </c>
      <c r="AC38" s="40">
        <f>'Tab 9 - Fish'!AN139*1000</f>
        <v>2168731.7224857546</v>
      </c>
      <c r="AD38" s="40">
        <f>'Tab 9 - Fish'!AO139*1000</f>
        <v>2168699.9861739352</v>
      </c>
      <c r="AE38" s="40">
        <f>'Tab 9 - Fish'!AP139*1000</f>
        <v>1568301.1231161342</v>
      </c>
      <c r="AF38" s="40">
        <f>'Tab 9 - Fish'!AQ139*1000</f>
        <v>806198.19202536542</v>
      </c>
      <c r="AG38" s="40">
        <f>'Tab 9 - Fish'!AR139*1000</f>
        <v>641943.68075753783</v>
      </c>
      <c r="AH38" s="40">
        <f>'Tab 9 - Fish'!AS139*1000</f>
        <v>639390.23952307145</v>
      </c>
      <c r="AI38" s="40">
        <f>'Tab 9 - Fish'!AT139*1000</f>
        <v>639350.98723174853</v>
      </c>
      <c r="AJ38" s="40">
        <f>'Tab 9 - Fish'!AU139*1000</f>
        <v>639310.01054382161</v>
      </c>
      <c r="AK38" s="40">
        <f>'Tab 9 - Fish'!AV139*1000</f>
        <v>639267.24420702248</v>
      </c>
      <c r="AL38" s="40">
        <f>'Tab 9 - Fish'!AW139*1000</f>
        <v>635373.6880312626</v>
      </c>
      <c r="AM38" s="40">
        <f>'Tab 9 - Fish'!AX139*1000</f>
        <v>597007.14994759497</v>
      </c>
      <c r="AN38" s="40">
        <f>'Tab 9 - Fish'!AY139*1000</f>
        <v>186337.61121358114</v>
      </c>
      <c r="AO38" s="40">
        <f>'Tab 9 - Fish'!AZ139*1000</f>
        <v>0</v>
      </c>
      <c r="AP38" s="40">
        <f>'Tab 9 - Fish'!BA139*1000</f>
        <v>0</v>
      </c>
      <c r="AQ38" s="40">
        <f>'Tab 9 - Fish'!BB139*1000</f>
        <v>0</v>
      </c>
      <c r="AR38" s="40"/>
    </row>
    <row r="39" spans="1:44" x14ac:dyDescent="0.25">
      <c r="A39" s="22"/>
      <c r="B39" s="22"/>
      <c r="C39" s="22"/>
      <c r="E39" s="22"/>
      <c r="F39" s="22"/>
      <c r="G39" s="22"/>
      <c r="H39" s="22"/>
      <c r="I39" s="22"/>
      <c r="J39" s="30"/>
      <c r="K39" s="63"/>
      <c r="L39" s="4" t="s">
        <v>147</v>
      </c>
      <c r="M39" s="42">
        <f t="shared" si="9"/>
        <v>-2960925.8760493631</v>
      </c>
      <c r="N39" s="42">
        <f t="shared" si="10"/>
        <v>-2960925.8760493631</v>
      </c>
      <c r="O39" s="43">
        <f>-'Tab 4 - Balance'!N102*1000</f>
        <v>-2960925.8760493631</v>
      </c>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row>
    <row r="40" spans="1:44" x14ac:dyDescent="0.25">
      <c r="A40" s="22"/>
      <c r="B40" s="22"/>
      <c r="C40" s="22"/>
      <c r="E40" s="22"/>
      <c r="F40" s="22"/>
      <c r="G40" s="22"/>
      <c r="H40" s="22"/>
      <c r="I40" s="22"/>
      <c r="J40" s="30"/>
      <c r="K40" s="63"/>
      <c r="L40" s="4" t="s">
        <v>148</v>
      </c>
      <c r="M40" s="42">
        <f t="shared" si="9"/>
        <v>17169606.675079793</v>
      </c>
      <c r="N40" s="42">
        <f t="shared" si="10"/>
        <v>10884955.34355763</v>
      </c>
      <c r="O40" s="43">
        <f>-'Tab 4 - Balance'!N60*1000</f>
        <v>-4128844.3846017271</v>
      </c>
      <c r="P40" s="40">
        <f>'Tab 10 - Pine'!AA139*1000</f>
        <v>960030.87777121936</v>
      </c>
      <c r="Q40" s="40">
        <f>'Tab 10 - Pine'!AB139*1000</f>
        <v>959938.30296358175</v>
      </c>
      <c r="R40" s="40">
        <f>'Tab 10 - Pine'!AC139*1000</f>
        <v>959842.23002736724</v>
      </c>
      <c r="S40" s="40">
        <f>'Tab 10 - Pine'!AD139*1000</f>
        <v>959742.55192802125</v>
      </c>
      <c r="T40" s="40">
        <f>'Tab 10 - Pine'!AE139*1000</f>
        <v>959639.13464247331</v>
      </c>
      <c r="U40" s="40">
        <f>'Tab 10 - Pine'!AF139*1000</f>
        <v>959531.82950406114</v>
      </c>
      <c r="V40" s="40">
        <f>'Tab 10 - Pine'!AG139*1000</f>
        <v>959420.46055076516</v>
      </c>
      <c r="W40" s="40">
        <f>'Tab 10 - Pine'!AH139*1000</f>
        <v>959304.86951018719</v>
      </c>
      <c r="X40" s="40">
        <f>'Tab 10 - Pine'!AI139*1000</f>
        <v>959184.93132414017</v>
      </c>
      <c r="Y40" s="40">
        <f>'Tab 10 - Pine'!AJ139*1000</f>
        <v>959060.39895849023</v>
      </c>
      <c r="Z40" s="40">
        <f>'Tab 10 - Pine'!AK139*1000</f>
        <v>958931.12173580669</v>
      </c>
      <c r="AA40" s="40">
        <f>'Tab 10 - Pine'!AL139*1000</f>
        <v>958796.8969190045</v>
      </c>
      <c r="AB40" s="40">
        <f>'Tab 10 - Pine'!AM139*1000</f>
        <v>958657.51864867809</v>
      </c>
      <c r="AC40" s="40">
        <f>'Tab 10 - Pine'!AN139*1000</f>
        <v>958512.83235112182</v>
      </c>
      <c r="AD40" s="40">
        <f>'Tab 10 - Pine'!AO139*1000</f>
        <v>958362.5374055088</v>
      </c>
      <c r="AE40" s="40">
        <f>'Tab 10 - Pine'!AP139*1000</f>
        <v>958206.44252894563</v>
      </c>
      <c r="AF40" s="40">
        <f>'Tab 10 - Pine'!AQ139*1000</f>
        <v>958044.3188199338</v>
      </c>
      <c r="AG40" s="40">
        <f>'Tab 10 - Pine'!AR139*1000</f>
        <v>957875.91413647414</v>
      </c>
      <c r="AH40" s="40">
        <f>'Tab 10 - Pine'!AS139*1000</f>
        <v>957700.45664439443</v>
      </c>
      <c r="AI40" s="40">
        <f>'Tab 10 - Pine'!AT139*1000</f>
        <v>799872.68967615662</v>
      </c>
      <c r="AJ40" s="40">
        <f>'Tab 10 - Pine'!AU139*1000</f>
        <v>682167.49389804702</v>
      </c>
      <c r="AK40" s="40">
        <f>'Tab 10 - Pine'!AV139*1000</f>
        <v>667252.11292103457</v>
      </c>
      <c r="AL40" s="40">
        <f>'Tab 10 - Pine'!AW139*1000</f>
        <v>550334.77808412898</v>
      </c>
      <c r="AM40" s="40">
        <f>'Tab 10 - Pine'!AX139*1000</f>
        <v>320315.02467607334</v>
      </c>
      <c r="AN40" s="40">
        <f>'Tab 10 - Pine'!AY139*1000</f>
        <v>57725.334055906045</v>
      </c>
      <c r="AO40" s="40">
        <f>'Tab 10 - Pine'!AZ139*1000</f>
        <v>0</v>
      </c>
      <c r="AP40" s="40">
        <f>'Tab 10 - Pine'!BA139*1000</f>
        <v>0</v>
      </c>
      <c r="AQ40" s="40">
        <f>'Tab 10 - Pine'!BB139*1000</f>
        <v>0</v>
      </c>
      <c r="AR40" s="40"/>
    </row>
    <row r="41" spans="1:44" s="22" customFormat="1" x14ac:dyDescent="0.25">
      <c r="A41" s="1"/>
      <c r="B41" s="1"/>
      <c r="C41" s="1"/>
      <c r="E41" s="1"/>
      <c r="F41" s="1"/>
      <c r="G41" s="1"/>
      <c r="H41" s="1"/>
      <c r="K41" s="64"/>
      <c r="L41" s="4"/>
      <c r="M41" s="45"/>
      <c r="N41" s="46"/>
      <c r="O41" s="47"/>
      <c r="P41" s="238"/>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76"/>
    </row>
    <row r="42" spans="1:44" x14ac:dyDescent="0.25">
      <c r="I42" s="22"/>
      <c r="J42" s="22"/>
      <c r="K42" s="65"/>
      <c r="L42" s="4" t="s">
        <v>85</v>
      </c>
      <c r="M42" s="42">
        <f>SUM(M35:M41)</f>
        <v>151941055.82971805</v>
      </c>
      <c r="N42" s="42">
        <f>SUM(N35:N41)</f>
        <v>102419823.9278447</v>
      </c>
      <c r="O42" s="180">
        <f>SUM(O35:O41)</f>
        <v>-32541351.311922774</v>
      </c>
      <c r="P42" s="49">
        <f t="shared" ref="P42:AQ42" si="11">SUM(P35:P41)</f>
        <v>9027434.8263309505</v>
      </c>
      <c r="Q42" s="49">
        <f t="shared" si="11"/>
        <v>10113977.465396659</v>
      </c>
      <c r="R42" s="49">
        <f t="shared" si="11"/>
        <v>10797552.657138374</v>
      </c>
      <c r="S42" s="49">
        <f t="shared" si="11"/>
        <v>9515959.316937834</v>
      </c>
      <c r="T42" s="49">
        <f t="shared" si="11"/>
        <v>9515170.0041067712</v>
      </c>
      <c r="U42" s="49">
        <f t="shared" si="11"/>
        <v>9514347.3108741157</v>
      </c>
      <c r="V42" s="49">
        <f t="shared" si="11"/>
        <v>9513489.8721103389</v>
      </c>
      <c r="W42" s="49">
        <f t="shared" si="11"/>
        <v>9512596.0363451</v>
      </c>
      <c r="X42" s="49">
        <f t="shared" si="11"/>
        <v>9511664.3403089494</v>
      </c>
      <c r="Y42" s="49">
        <f t="shared" si="11"/>
        <v>9510692.927673582</v>
      </c>
      <c r="Z42" s="49">
        <f t="shared" si="11"/>
        <v>9509680.0941558219</v>
      </c>
      <c r="AA42" s="49">
        <f t="shared" si="11"/>
        <v>9373113.4553260654</v>
      </c>
      <c r="AB42" s="49">
        <f t="shared" si="11"/>
        <v>9334605.4562439676</v>
      </c>
      <c r="AC42" s="49">
        <f t="shared" si="11"/>
        <v>8869600.2462111898</v>
      </c>
      <c r="AD42" s="49">
        <f t="shared" si="11"/>
        <v>7794941.176863689</v>
      </c>
      <c r="AE42" s="49">
        <f t="shared" si="11"/>
        <v>6994242.9352665888</v>
      </c>
      <c r="AF42" s="49">
        <f t="shared" si="11"/>
        <v>5906198.4679899383</v>
      </c>
      <c r="AG42" s="49">
        <f t="shared" si="11"/>
        <v>4997474.9288397077</v>
      </c>
      <c r="AH42" s="49">
        <f t="shared" si="11"/>
        <v>4402353.7982340269</v>
      </c>
      <c r="AI42" s="49">
        <f t="shared" si="11"/>
        <v>4243783.1682340279</v>
      </c>
      <c r="AJ42" s="49">
        <f t="shared" si="11"/>
        <v>4122997.3182340274</v>
      </c>
      <c r="AK42" s="49">
        <f t="shared" si="11"/>
        <v>4096553.9082340277</v>
      </c>
      <c r="AL42" s="49">
        <f t="shared" si="11"/>
        <v>3917246.3382340274</v>
      </c>
      <c r="AM42" s="49">
        <f t="shared" si="11"/>
        <v>3322785.5682340274</v>
      </c>
      <c r="AN42" s="49">
        <f t="shared" si="11"/>
        <v>1063945.5241170139</v>
      </c>
      <c r="AO42" s="49">
        <f t="shared" si="11"/>
        <v>0</v>
      </c>
      <c r="AP42" s="49">
        <f t="shared" si="11"/>
        <v>0</v>
      </c>
      <c r="AQ42" s="49">
        <f t="shared" si="11"/>
        <v>0</v>
      </c>
      <c r="AR42" s="49"/>
    </row>
    <row r="43" spans="1:44" x14ac:dyDescent="0.25">
      <c r="I43" s="22"/>
      <c r="J43" s="22"/>
      <c r="K43" s="66"/>
      <c r="L43" s="4"/>
      <c r="M43" s="42"/>
      <c r="N43" s="42"/>
      <c r="O43" s="43"/>
      <c r="P43" s="40"/>
      <c r="Q43" s="40"/>
      <c r="R43" s="40"/>
      <c r="S43" s="40"/>
      <c r="T43" s="77"/>
      <c r="U43" s="40"/>
      <c r="V43" s="40"/>
      <c r="W43" s="40"/>
      <c r="X43" s="40"/>
      <c r="Y43" s="40"/>
      <c r="Z43" s="40"/>
      <c r="AA43" s="40"/>
      <c r="AB43" s="40"/>
      <c r="AC43" s="40"/>
      <c r="AD43" s="40"/>
      <c r="AE43" s="40"/>
      <c r="AF43" s="40"/>
      <c r="AG43" s="40"/>
      <c r="AH43" s="40"/>
      <c r="AI43" s="40"/>
      <c r="AJ43" s="40"/>
      <c r="AK43" s="40"/>
      <c r="AL43" s="40"/>
      <c r="AM43" s="40"/>
      <c r="AN43" s="77"/>
      <c r="AO43" s="40"/>
      <c r="AP43" s="42"/>
      <c r="AQ43" s="42"/>
      <c r="AR43" s="42"/>
    </row>
    <row r="44" spans="1:44" x14ac:dyDescent="0.25">
      <c r="I44" s="22"/>
      <c r="J44" s="22"/>
      <c r="K44" s="22"/>
      <c r="L44" s="4" t="s">
        <v>112</v>
      </c>
      <c r="M44" s="109">
        <f>M33-M42</f>
        <v>-11017632.922519684</v>
      </c>
      <c r="N44" s="42">
        <f>N33-N42</f>
        <v>2960925.0721553266</v>
      </c>
      <c r="O44" s="43"/>
      <c r="P44" s="38">
        <f t="shared" ref="P44:AQ44" si="12">P33-P42</f>
        <v>-779403.35491070896</v>
      </c>
      <c r="Q44" s="38">
        <f t="shared" si="12"/>
        <v>-4536683.3281881185</v>
      </c>
      <c r="R44" s="38">
        <f t="shared" si="12"/>
        <v>-5433438.8854489094</v>
      </c>
      <c r="S44" s="38">
        <f t="shared" si="12"/>
        <v>-3875640.9678144855</v>
      </c>
      <c r="T44" s="38">
        <f t="shared" si="12"/>
        <v>-3721795.7418082925</v>
      </c>
      <c r="U44" s="38">
        <f t="shared" si="12"/>
        <v>-2158603.6788477283</v>
      </c>
      <c r="V44" s="38">
        <f t="shared" si="12"/>
        <v>-778258.33731572703</v>
      </c>
      <c r="W44" s="38">
        <f t="shared" si="12"/>
        <v>-536522.16757049412</v>
      </c>
      <c r="X44" s="38">
        <f t="shared" si="12"/>
        <v>-288699.24858563766</v>
      </c>
      <c r="Y44" s="38">
        <f t="shared" si="12"/>
        <v>-34663.296751612797</v>
      </c>
      <c r="Z44" s="38">
        <f t="shared" si="12"/>
        <v>225712.97599127144</v>
      </c>
      <c r="AA44" s="38">
        <f t="shared" si="12"/>
        <v>628068.61767849885</v>
      </c>
      <c r="AB44" s="38">
        <f t="shared" si="12"/>
        <v>938918.84304823726</v>
      </c>
      <c r="AC44" s="38">
        <f t="shared" si="12"/>
        <v>1682948.0677788034</v>
      </c>
      <c r="AD44" s="38">
        <f t="shared" si="12"/>
        <v>3043442.3115935121</v>
      </c>
      <c r="AE44" s="38">
        <f t="shared" si="12"/>
        <v>3499225.2945351647</v>
      </c>
      <c r="AF44" s="38">
        <f t="shared" si="12"/>
        <v>-1266450.7854653373</v>
      </c>
      <c r="AG44" s="38">
        <f t="shared" si="12"/>
        <v>-4997474.9288397077</v>
      </c>
      <c r="AH44" s="38">
        <f t="shared" si="12"/>
        <v>-4402353.7982340269</v>
      </c>
      <c r="AI44" s="38">
        <f t="shared" si="12"/>
        <v>-4243783.1682340279</v>
      </c>
      <c r="AJ44" s="38">
        <f t="shared" si="12"/>
        <v>-4122997.3182340274</v>
      </c>
      <c r="AK44" s="38">
        <f t="shared" si="12"/>
        <v>-4096553.9082340277</v>
      </c>
      <c r="AL44" s="38">
        <f t="shared" si="12"/>
        <v>-3917246.3382340274</v>
      </c>
      <c r="AM44" s="38">
        <f t="shared" si="12"/>
        <v>-3322785.5682340274</v>
      </c>
      <c r="AN44" s="38">
        <f t="shared" si="12"/>
        <v>-1063945.5241170139</v>
      </c>
      <c r="AO44" s="38">
        <f t="shared" si="12"/>
        <v>0</v>
      </c>
      <c r="AP44" s="38">
        <f t="shared" si="12"/>
        <v>0</v>
      </c>
      <c r="AQ44" s="38">
        <f t="shared" si="12"/>
        <v>0</v>
      </c>
      <c r="AR44" s="38"/>
    </row>
    <row r="45" spans="1:44" x14ac:dyDescent="0.25">
      <c r="L45" s="4" t="s">
        <v>87</v>
      </c>
      <c r="M45" s="38"/>
      <c r="N45" s="42"/>
      <c r="O45" s="43"/>
      <c r="P45" s="40">
        <f>M17-SUM(P11:P16)</f>
        <v>4303</v>
      </c>
      <c r="Q45" s="40">
        <f t="shared" ref="Q45:AQ45" si="13">P45-SUM(Q11:Q16)</f>
        <v>3976</v>
      </c>
      <c r="R45" s="40">
        <f t="shared" si="13"/>
        <v>3655</v>
      </c>
      <c r="S45" s="40">
        <f t="shared" si="13"/>
        <v>3334</v>
      </c>
      <c r="T45" s="40">
        <f t="shared" si="13"/>
        <v>3015.5191020408165</v>
      </c>
      <c r="U45" s="40">
        <f t="shared" si="13"/>
        <v>2699.5573061224491</v>
      </c>
      <c r="V45" s="40">
        <f t="shared" si="13"/>
        <v>2386.1146122448981</v>
      </c>
      <c r="W45" s="40">
        <f t="shared" si="13"/>
        <v>2075.1910204081632</v>
      </c>
      <c r="X45" s="40">
        <f t="shared" si="13"/>
        <v>1766.7865306122449</v>
      </c>
      <c r="Y45" s="40">
        <f t="shared" si="13"/>
        <v>1460.901142857143</v>
      </c>
      <c r="Z45" s="40">
        <f t="shared" si="13"/>
        <v>1157.5348571428574</v>
      </c>
      <c r="AA45" s="40">
        <f t="shared" si="13"/>
        <v>856.68767346938807</v>
      </c>
      <c r="AB45" s="40">
        <f t="shared" si="13"/>
        <v>558.35959183673504</v>
      </c>
      <c r="AC45" s="40">
        <f t="shared" si="13"/>
        <v>262.55061224489839</v>
      </c>
      <c r="AD45" s="40">
        <f>AC45-SUM(AD11:AD16)</f>
        <v>0</v>
      </c>
      <c r="AE45" s="40">
        <f t="shared" si="13"/>
        <v>0</v>
      </c>
      <c r="AF45" s="40">
        <f t="shared" si="13"/>
        <v>0</v>
      </c>
      <c r="AG45" s="40">
        <f t="shared" si="13"/>
        <v>0</v>
      </c>
      <c r="AH45" s="40">
        <f t="shared" si="13"/>
        <v>0</v>
      </c>
      <c r="AI45" s="40">
        <f t="shared" si="13"/>
        <v>0</v>
      </c>
      <c r="AJ45" s="40">
        <f t="shared" si="13"/>
        <v>0</v>
      </c>
      <c r="AK45" s="40">
        <f t="shared" si="13"/>
        <v>0</v>
      </c>
      <c r="AL45" s="40">
        <f t="shared" si="13"/>
        <v>0</v>
      </c>
      <c r="AM45" s="40">
        <f t="shared" si="13"/>
        <v>0</v>
      </c>
      <c r="AN45" s="40">
        <f t="shared" si="13"/>
        <v>0</v>
      </c>
      <c r="AO45" s="40">
        <f t="shared" si="13"/>
        <v>0</v>
      </c>
      <c r="AP45" s="40">
        <f t="shared" si="13"/>
        <v>0</v>
      </c>
      <c r="AQ45" s="40">
        <f t="shared" si="13"/>
        <v>0</v>
      </c>
      <c r="AR45" s="40"/>
    </row>
    <row r="46" spans="1:44" x14ac:dyDescent="0.25">
      <c r="L46" s="33"/>
      <c r="M46" s="45"/>
      <c r="N46" s="45"/>
      <c r="O46" s="47"/>
      <c r="P46" s="45"/>
      <c r="Q46" s="45"/>
      <c r="R46" s="45"/>
      <c r="S46" s="45"/>
      <c r="T46" s="79"/>
      <c r="U46" s="45"/>
      <c r="V46" s="45"/>
      <c r="W46" s="45"/>
      <c r="X46" s="45"/>
      <c r="Y46" s="45"/>
      <c r="Z46" s="45"/>
      <c r="AA46" s="45"/>
      <c r="AB46" s="45"/>
      <c r="AC46" s="45"/>
      <c r="AD46" s="45"/>
      <c r="AE46" s="45"/>
      <c r="AF46" s="45"/>
      <c r="AG46" s="45"/>
      <c r="AH46" s="45"/>
      <c r="AI46" s="45"/>
      <c r="AJ46" s="45"/>
      <c r="AK46" s="45"/>
      <c r="AL46" s="45"/>
      <c r="AM46" s="45"/>
      <c r="AN46" s="79"/>
      <c r="AO46" s="45"/>
      <c r="AP46" s="45"/>
      <c r="AQ46" s="45"/>
    </row>
    <row r="47" spans="1:44" x14ac:dyDescent="0.25">
      <c r="M47" s="42"/>
      <c r="N47" s="42"/>
      <c r="O47" s="43"/>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row>
    <row r="48" spans="1:44" ht="39.6" x14ac:dyDescent="0.25">
      <c r="L48" s="1" t="s">
        <v>88</v>
      </c>
      <c r="M48" s="42"/>
      <c r="N48" s="48"/>
      <c r="O48" s="7" t="s">
        <v>77</v>
      </c>
      <c r="P48" s="3">
        <f t="shared" ref="P48:AQ48" si="14">+P10</f>
        <v>2024</v>
      </c>
      <c r="Q48" s="3">
        <f t="shared" si="14"/>
        <v>2025</v>
      </c>
      <c r="R48" s="3">
        <f t="shared" si="14"/>
        <v>2026</v>
      </c>
      <c r="S48" s="3">
        <f t="shared" si="14"/>
        <v>2027</v>
      </c>
      <c r="T48" s="3">
        <f t="shared" si="14"/>
        <v>2028</v>
      </c>
      <c r="U48" s="3">
        <f t="shared" si="14"/>
        <v>2029</v>
      </c>
      <c r="V48" s="3">
        <f t="shared" si="14"/>
        <v>2030</v>
      </c>
      <c r="W48" s="3">
        <f t="shared" si="14"/>
        <v>2031</v>
      </c>
      <c r="X48" s="3">
        <f t="shared" si="14"/>
        <v>2032</v>
      </c>
      <c r="Y48" s="3">
        <f t="shared" si="14"/>
        <v>2033</v>
      </c>
      <c r="Z48" s="3">
        <f t="shared" si="14"/>
        <v>2034</v>
      </c>
      <c r="AA48" s="3">
        <f t="shared" si="14"/>
        <v>2035</v>
      </c>
      <c r="AB48" s="3">
        <f t="shared" si="14"/>
        <v>2036</v>
      </c>
      <c r="AC48" s="3">
        <f t="shared" si="14"/>
        <v>2037</v>
      </c>
      <c r="AD48" s="3">
        <f t="shared" si="14"/>
        <v>2038</v>
      </c>
      <c r="AE48" s="3">
        <f t="shared" si="14"/>
        <v>2039</v>
      </c>
      <c r="AF48" s="3">
        <f t="shared" si="14"/>
        <v>2040</v>
      </c>
      <c r="AG48" s="3">
        <f t="shared" si="14"/>
        <v>2041</v>
      </c>
      <c r="AH48" s="3">
        <f t="shared" si="14"/>
        <v>2042</v>
      </c>
      <c r="AI48" s="3">
        <f t="shared" si="14"/>
        <v>2043</v>
      </c>
      <c r="AJ48" s="3">
        <f t="shared" si="14"/>
        <v>2044</v>
      </c>
      <c r="AK48" s="3">
        <f t="shared" si="14"/>
        <v>2045</v>
      </c>
      <c r="AL48" s="3">
        <f t="shared" si="14"/>
        <v>2046</v>
      </c>
      <c r="AM48" s="3">
        <f t="shared" si="14"/>
        <v>2047</v>
      </c>
      <c r="AN48" s="3">
        <f t="shared" si="14"/>
        <v>2048</v>
      </c>
      <c r="AO48" s="3">
        <f t="shared" si="14"/>
        <v>2049</v>
      </c>
      <c r="AP48" s="3">
        <f t="shared" si="14"/>
        <v>2050</v>
      </c>
      <c r="AQ48" s="3">
        <f t="shared" si="14"/>
        <v>2051</v>
      </c>
    </row>
    <row r="49" spans="9:43" x14ac:dyDescent="0.25">
      <c r="L49" s="1" t="s">
        <v>89</v>
      </c>
      <c r="M49" s="42"/>
      <c r="N49" s="48"/>
      <c r="O49" s="43">
        <f>(O33-O42)/1000</f>
        <v>32541.351311922775</v>
      </c>
      <c r="P49" s="42">
        <f t="shared" ref="P49:AN49" si="15">(P33-P42)/1000</f>
        <v>-779.40335491070891</v>
      </c>
      <c r="Q49" s="42">
        <f t="shared" si="15"/>
        <v>-4536.6833281881181</v>
      </c>
      <c r="R49" s="42">
        <f t="shared" si="15"/>
        <v>-5433.4388854489098</v>
      </c>
      <c r="S49" s="42">
        <f t="shared" si="15"/>
        <v>-3875.6409678144855</v>
      </c>
      <c r="T49" s="42">
        <f t="shared" si="15"/>
        <v>-3721.7957418082924</v>
      </c>
      <c r="U49" s="42">
        <f t="shared" si="15"/>
        <v>-2158.6036788477281</v>
      </c>
      <c r="V49" s="42">
        <f t="shared" si="15"/>
        <v>-778.25833731572698</v>
      </c>
      <c r="W49" s="42">
        <f t="shared" si="15"/>
        <v>-536.52216757049416</v>
      </c>
      <c r="X49" s="42">
        <f t="shared" si="15"/>
        <v>-288.69924858563763</v>
      </c>
      <c r="Y49" s="42">
        <f t="shared" si="15"/>
        <v>-34.663296751612798</v>
      </c>
      <c r="Z49" s="42">
        <f t="shared" si="15"/>
        <v>225.71297599127143</v>
      </c>
      <c r="AA49" s="42">
        <f t="shared" si="15"/>
        <v>628.06861767849887</v>
      </c>
      <c r="AB49" s="42">
        <f t="shared" si="15"/>
        <v>938.91884304823725</v>
      </c>
      <c r="AC49" s="42">
        <f t="shared" si="15"/>
        <v>1682.9480677788033</v>
      </c>
      <c r="AD49" s="42">
        <f t="shared" si="15"/>
        <v>3043.4423115935119</v>
      </c>
      <c r="AE49" s="42">
        <f t="shared" si="15"/>
        <v>3499.2252945351647</v>
      </c>
      <c r="AF49" s="42">
        <f t="shared" si="15"/>
        <v>-1266.4507854653373</v>
      </c>
      <c r="AG49" s="42">
        <f t="shared" si="15"/>
        <v>-4997.4749288397079</v>
      </c>
      <c r="AH49" s="42">
        <f t="shared" si="15"/>
        <v>-4402.3537982340267</v>
      </c>
      <c r="AI49" s="42">
        <f t="shared" si="15"/>
        <v>-4243.7831682340275</v>
      </c>
      <c r="AJ49" s="42">
        <f t="shared" si="15"/>
        <v>-4122.9973182340273</v>
      </c>
      <c r="AK49" s="42">
        <f t="shared" si="15"/>
        <v>-4096.5539082340274</v>
      </c>
      <c r="AL49" s="42">
        <f t="shared" si="15"/>
        <v>-3917.2463382340275</v>
      </c>
      <c r="AM49" s="42">
        <f t="shared" si="15"/>
        <v>-3322.7855682340273</v>
      </c>
      <c r="AN49" s="42">
        <f t="shared" si="15"/>
        <v>-1063.945524117014</v>
      </c>
      <c r="AO49" s="42">
        <f>(AO33-AO42)/1000</f>
        <v>0</v>
      </c>
      <c r="AP49" s="42">
        <f t="shared" ref="AP49:AQ49" si="16">(AP33-AP42)/1000</f>
        <v>0</v>
      </c>
      <c r="AQ49" s="42">
        <f t="shared" si="16"/>
        <v>0</v>
      </c>
    </row>
    <row r="50" spans="9:43" x14ac:dyDescent="0.25">
      <c r="M50" s="42"/>
      <c r="N50" s="42"/>
      <c r="O50" s="47"/>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row>
    <row r="51" spans="9:43" x14ac:dyDescent="0.25">
      <c r="M51" s="42"/>
      <c r="N51" s="42"/>
      <c r="O51" s="43">
        <f>SUM(O49:O50)</f>
        <v>32541.351311922775</v>
      </c>
      <c r="P51" s="42">
        <f t="shared" ref="P51:AN51" si="17">SUM(P49:P50)</f>
        <v>-779.40335491070891</v>
      </c>
      <c r="Q51" s="42">
        <f t="shared" si="17"/>
        <v>-4536.6833281881181</v>
      </c>
      <c r="R51" s="42">
        <f t="shared" si="17"/>
        <v>-5433.4388854489098</v>
      </c>
      <c r="S51" s="42">
        <f t="shared" si="17"/>
        <v>-3875.6409678144855</v>
      </c>
      <c r="T51" s="42">
        <f t="shared" si="17"/>
        <v>-3721.7957418082924</v>
      </c>
      <c r="U51" s="42">
        <f t="shared" si="17"/>
        <v>-2158.6036788477281</v>
      </c>
      <c r="V51" s="42">
        <f t="shared" si="17"/>
        <v>-778.25833731572698</v>
      </c>
      <c r="W51" s="42">
        <f t="shared" si="17"/>
        <v>-536.52216757049416</v>
      </c>
      <c r="X51" s="42">
        <f t="shared" si="17"/>
        <v>-288.69924858563763</v>
      </c>
      <c r="Y51" s="42">
        <f t="shared" si="17"/>
        <v>-34.663296751612798</v>
      </c>
      <c r="Z51" s="42">
        <f t="shared" si="17"/>
        <v>225.71297599127143</v>
      </c>
      <c r="AA51" s="42">
        <f t="shared" si="17"/>
        <v>628.06861767849887</v>
      </c>
      <c r="AB51" s="42">
        <f t="shared" si="17"/>
        <v>938.91884304823725</v>
      </c>
      <c r="AC51" s="42">
        <f t="shared" si="17"/>
        <v>1682.9480677788033</v>
      </c>
      <c r="AD51" s="42">
        <f t="shared" si="17"/>
        <v>3043.4423115935119</v>
      </c>
      <c r="AE51" s="42">
        <f t="shared" si="17"/>
        <v>3499.2252945351647</v>
      </c>
      <c r="AF51" s="42">
        <f t="shared" si="17"/>
        <v>-1266.4507854653373</v>
      </c>
      <c r="AG51" s="42">
        <f t="shared" si="17"/>
        <v>-4997.4749288397079</v>
      </c>
      <c r="AH51" s="42">
        <f t="shared" si="17"/>
        <v>-4402.3537982340267</v>
      </c>
      <c r="AI51" s="42">
        <f t="shared" si="17"/>
        <v>-4243.7831682340275</v>
      </c>
      <c r="AJ51" s="42">
        <f t="shared" si="17"/>
        <v>-4122.9973182340273</v>
      </c>
      <c r="AK51" s="42">
        <f t="shared" si="17"/>
        <v>-4096.5539082340274</v>
      </c>
      <c r="AL51" s="42">
        <f t="shared" si="17"/>
        <v>-3917.2463382340275</v>
      </c>
      <c r="AM51" s="42">
        <f t="shared" si="17"/>
        <v>-3322.7855682340273</v>
      </c>
      <c r="AN51" s="42">
        <f t="shared" si="17"/>
        <v>-1063.945524117014</v>
      </c>
      <c r="AO51" s="42">
        <f>SUM(AO49:AO50)</f>
        <v>0</v>
      </c>
      <c r="AP51" s="42">
        <f t="shared" ref="AP51:AQ51" si="18">SUM(AP49:AP50)</f>
        <v>0</v>
      </c>
      <c r="AQ51" s="42">
        <f t="shared" si="18"/>
        <v>0</v>
      </c>
    </row>
    <row r="52" spans="9:43" x14ac:dyDescent="0.25">
      <c r="L52" s="1" t="s">
        <v>90</v>
      </c>
      <c r="M52" s="42"/>
      <c r="N52" s="42"/>
      <c r="O52" s="43"/>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row>
    <row r="53" spans="9:43" x14ac:dyDescent="0.25">
      <c r="L53" s="1" t="str">
        <f>+L49</f>
        <v>Stormwater</v>
      </c>
      <c r="M53" s="42"/>
      <c r="N53" s="42"/>
      <c r="O53" s="43">
        <f>SUM(M53,O49)</f>
        <v>32541.351311922775</v>
      </c>
      <c r="P53" s="42">
        <f>SUM($O$49,$P49:P49)</f>
        <v>31761.947957012067</v>
      </c>
      <c r="Q53" s="42">
        <f>SUM($O$49,$P49:Q49)</f>
        <v>27225.264628823948</v>
      </c>
      <c r="R53" s="42">
        <f>SUM($O$49,$P49:R49)</f>
        <v>21791.82574337504</v>
      </c>
      <c r="S53" s="42">
        <f>SUM($O$49,$P49:S49)</f>
        <v>17916.184775560556</v>
      </c>
      <c r="T53" s="42">
        <f>SUM($O$49,$P49:T49)</f>
        <v>14194.389033752264</v>
      </c>
      <c r="U53" s="42">
        <f>SUM($O$49,$P49:U49)</f>
        <v>12035.785354904536</v>
      </c>
      <c r="V53" s="42">
        <f>SUM($O$49,$P49:V49)</f>
        <v>11257.527017588809</v>
      </c>
      <c r="W53" s="42">
        <f>SUM($O$49,$P49:W49)</f>
        <v>10721.004850018315</v>
      </c>
      <c r="X53" s="42">
        <f>SUM($O$49,$P49:X49)</f>
        <v>10432.305601432678</v>
      </c>
      <c r="Y53" s="42">
        <f>SUM($O$49,$P49:Y49)</f>
        <v>10397.642304681065</v>
      </c>
      <c r="Z53" s="42">
        <f>SUM($O$49,$P49:Z49)</f>
        <v>10623.355280672336</v>
      </c>
      <c r="AA53" s="42">
        <f>SUM($O$49,$P49:AA49)</f>
        <v>11251.423898350835</v>
      </c>
      <c r="AB53" s="42">
        <f>SUM($O$49,$P49:AB49)</f>
        <v>12190.342741399072</v>
      </c>
      <c r="AC53" s="42">
        <f>SUM($O$49,$P49:AC49)</f>
        <v>13873.290809177875</v>
      </c>
      <c r="AD53" s="42">
        <f>SUM($O$49,$P49:AD49)</f>
        <v>16916.733120771387</v>
      </c>
      <c r="AE53" s="42">
        <f>SUM($O$49,$P49:AE49)</f>
        <v>20415.958415306552</v>
      </c>
      <c r="AF53" s="42">
        <f>SUM($O$49,$P49:AF49)</f>
        <v>19149.507629841213</v>
      </c>
      <c r="AG53" s="42">
        <f>SUM($O$49,$P49:AG49)</f>
        <v>14152.032701001506</v>
      </c>
      <c r="AH53" s="42">
        <f>SUM($O$49,$P49:AH49)</f>
        <v>9749.6789027674786</v>
      </c>
      <c r="AI53" s="42">
        <f>SUM($O$49,$P49:AI49)</f>
        <v>5505.8957345334511</v>
      </c>
      <c r="AJ53" s="42">
        <f>SUM($O$49,$P49:AJ49)</f>
        <v>1382.8984162994238</v>
      </c>
      <c r="AK53" s="42">
        <f>SUM($O$49,$P49:AK49)</f>
        <v>-2713.6554919346036</v>
      </c>
      <c r="AL53" s="42">
        <f>SUM($O$49,$P49:AL49)</f>
        <v>-6630.901830168631</v>
      </c>
      <c r="AM53" s="42">
        <f>SUM($O$49,$P49:AM49)</f>
        <v>-9953.6873984026588</v>
      </c>
      <c r="AN53" s="42">
        <f>SUM($O$49,$P49:AN49)</f>
        <v>-11017.632922519673</v>
      </c>
      <c r="AO53" s="42">
        <f>SUM($O$49,$P49:AO49)</f>
        <v>-11017.632922519673</v>
      </c>
      <c r="AP53" s="42">
        <f>SUM($O$49,$P49:AP49)</f>
        <v>-11017.632922519673</v>
      </c>
      <c r="AQ53" s="42">
        <f>SUM($O$49,$P49:AQ49)</f>
        <v>-11017.632922519673</v>
      </c>
    </row>
    <row r="54" spans="9:43" x14ac:dyDescent="0.25">
      <c r="M54" s="42"/>
      <c r="N54" s="42"/>
      <c r="O54" s="47"/>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row>
    <row r="55" spans="9:43" x14ac:dyDescent="0.25">
      <c r="I55" s="22"/>
      <c r="J55" s="22"/>
      <c r="K55" s="22"/>
      <c r="L55" s="22" t="s">
        <v>91</v>
      </c>
      <c r="M55" s="49"/>
      <c r="N55" s="49"/>
      <c r="O55" s="47">
        <f t="shared" ref="O55:AN55" si="19">SUM(O53:O54)</f>
        <v>32541.351311922775</v>
      </c>
      <c r="P55" s="49">
        <f t="shared" si="19"/>
        <v>31761.947957012067</v>
      </c>
      <c r="Q55" s="49">
        <f t="shared" si="19"/>
        <v>27225.264628823948</v>
      </c>
      <c r="R55" s="49">
        <f t="shared" si="19"/>
        <v>21791.82574337504</v>
      </c>
      <c r="S55" s="49">
        <f t="shared" si="19"/>
        <v>17916.184775560556</v>
      </c>
      <c r="T55" s="49">
        <f t="shared" si="19"/>
        <v>14194.389033752264</v>
      </c>
      <c r="U55" s="49">
        <f t="shared" si="19"/>
        <v>12035.785354904536</v>
      </c>
      <c r="V55" s="49">
        <f t="shared" si="19"/>
        <v>11257.527017588809</v>
      </c>
      <c r="W55" s="49">
        <f t="shared" si="19"/>
        <v>10721.004850018315</v>
      </c>
      <c r="X55" s="49">
        <f t="shared" si="19"/>
        <v>10432.305601432678</v>
      </c>
      <c r="Y55" s="49">
        <f t="shared" si="19"/>
        <v>10397.642304681065</v>
      </c>
      <c r="Z55" s="49">
        <f t="shared" si="19"/>
        <v>10623.355280672336</v>
      </c>
      <c r="AA55" s="49">
        <f t="shared" si="19"/>
        <v>11251.423898350835</v>
      </c>
      <c r="AB55" s="49">
        <f t="shared" si="19"/>
        <v>12190.342741399072</v>
      </c>
      <c r="AC55" s="49">
        <f t="shared" si="19"/>
        <v>13873.290809177875</v>
      </c>
      <c r="AD55" s="49">
        <f t="shared" si="19"/>
        <v>16916.733120771387</v>
      </c>
      <c r="AE55" s="49">
        <f t="shared" si="19"/>
        <v>20415.958415306552</v>
      </c>
      <c r="AF55" s="49">
        <f t="shared" si="19"/>
        <v>19149.507629841213</v>
      </c>
      <c r="AG55" s="49">
        <f t="shared" si="19"/>
        <v>14152.032701001506</v>
      </c>
      <c r="AH55" s="49">
        <f t="shared" si="19"/>
        <v>9749.6789027674786</v>
      </c>
      <c r="AI55" s="49">
        <f t="shared" si="19"/>
        <v>5505.8957345334511</v>
      </c>
      <c r="AJ55" s="49">
        <f t="shared" si="19"/>
        <v>1382.8984162994238</v>
      </c>
      <c r="AK55" s="49">
        <f t="shared" si="19"/>
        <v>-2713.6554919346036</v>
      </c>
      <c r="AL55" s="49">
        <f t="shared" si="19"/>
        <v>-6630.901830168631</v>
      </c>
      <c r="AM55" s="49">
        <f t="shared" si="19"/>
        <v>-9953.6873984026588</v>
      </c>
      <c r="AN55" s="49">
        <f t="shared" si="19"/>
        <v>-11017.632922519673</v>
      </c>
      <c r="AO55" s="49">
        <f>SUM(AO53:AO54)</f>
        <v>-11017.632922519673</v>
      </c>
      <c r="AP55" s="49">
        <f t="shared" ref="AP55:AQ55" si="20">SUM(AP53:AP54)</f>
        <v>-11017.632922519673</v>
      </c>
      <c r="AQ55" s="49">
        <f t="shared" si="20"/>
        <v>-11017.632922519673</v>
      </c>
    </row>
    <row r="56" spans="9:43" x14ac:dyDescent="0.25">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row>
    <row r="57" spans="9:43" x14ac:dyDescent="0.25">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row>
    <row r="58" spans="9:43" x14ac:dyDescent="0.25">
      <c r="M58" s="28"/>
    </row>
    <row r="59" spans="9:43" x14ac:dyDescent="0.25">
      <c r="M59" s="36"/>
    </row>
    <row r="60" spans="9:43" x14ac:dyDescent="0.25">
      <c r="AF60" s="28"/>
    </row>
    <row r="65" spans="11:11" x14ac:dyDescent="0.25">
      <c r="K65" s="61"/>
    </row>
  </sheetData>
  <pageMargins left="0.7" right="0.7" top="0.75" bottom="0.75" header="0.3" footer="0.3"/>
  <pageSetup scale="18"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3169-77A8-4470-8C83-62B90E2183F0}">
  <sheetPr>
    <pageSetUpPr fitToPage="1"/>
  </sheetPr>
  <dimension ref="A1:P108"/>
  <sheetViews>
    <sheetView showGridLines="0" zoomScale="80" zoomScaleNormal="80" workbookViewId="0">
      <pane xSplit="1" ySplit="10" topLeftCell="B31" activePane="bottomRight" state="frozen"/>
      <selection pane="topRight" activeCell="F31" sqref="F31"/>
      <selection pane="bottomLeft" activeCell="F31" sqref="F31"/>
      <selection pane="bottomRight"/>
    </sheetView>
  </sheetViews>
  <sheetFormatPr defaultColWidth="9.21875" defaultRowHeight="13.2" x14ac:dyDescent="0.25"/>
  <cols>
    <col min="1" max="1" width="37.44140625" style="22" customWidth="1"/>
    <col min="2" max="2" width="15.77734375" style="22" customWidth="1"/>
    <col min="3" max="3" width="10" style="22" bestFit="1" customWidth="1"/>
    <col min="4" max="11" width="10.77734375" style="22" customWidth="1"/>
    <col min="12" max="13" width="13.21875" style="22" customWidth="1"/>
    <col min="14" max="15" width="15.21875" style="22" bestFit="1" customWidth="1"/>
    <col min="16" max="16384" width="9.21875" style="22"/>
  </cols>
  <sheetData>
    <row r="1" spans="1:14" ht="26.4" x14ac:dyDescent="0.25">
      <c r="A1" s="53" t="s">
        <v>149</v>
      </c>
      <c r="B1" s="165" t="s">
        <v>150</v>
      </c>
      <c r="C1" s="165" t="s">
        <v>151</v>
      </c>
      <c r="D1" s="54">
        <v>2016</v>
      </c>
      <c r="E1" s="54">
        <v>2017</v>
      </c>
      <c r="F1" s="54">
        <v>2018</v>
      </c>
      <c r="G1" s="54">
        <v>2019</v>
      </c>
      <c r="H1" s="54">
        <v>2020</v>
      </c>
      <c r="I1" s="54">
        <v>2021</v>
      </c>
      <c r="J1" s="54">
        <v>2022</v>
      </c>
      <c r="K1" s="54">
        <v>2023</v>
      </c>
      <c r="L1" s="165" t="s">
        <v>152</v>
      </c>
      <c r="M1" s="165" t="s">
        <v>153</v>
      </c>
      <c r="N1" s="165" t="s">
        <v>154</v>
      </c>
    </row>
    <row r="2" spans="1:14" x14ac:dyDescent="0.25">
      <c r="A2" s="53"/>
      <c r="B2" s="53"/>
      <c r="C2" s="53"/>
      <c r="D2" s="54"/>
      <c r="E2" s="54"/>
      <c r="F2" s="54"/>
      <c r="G2" s="54"/>
      <c r="H2" s="54"/>
      <c r="I2" s="54"/>
      <c r="J2" s="54"/>
      <c r="K2" s="54"/>
      <c r="L2" s="54"/>
      <c r="M2" s="54"/>
    </row>
    <row r="3" spans="1:14" x14ac:dyDescent="0.25">
      <c r="A3" s="53" t="s">
        <v>155</v>
      </c>
      <c r="B3" s="53"/>
      <c r="C3" s="53"/>
      <c r="D3" s="169">
        <f>'Tab 12 - Land Absorption'!F4</f>
        <v>9.447000000000001</v>
      </c>
      <c r="E3" s="169">
        <f>'Tab 12 - Land Absorption'!G4</f>
        <v>76.499000000000009</v>
      </c>
      <c r="F3" s="169">
        <f>'Tab 12 - Land Absorption'!H4</f>
        <v>77.132999999999996</v>
      </c>
      <c r="G3" s="169">
        <f>'Tab 12 - Land Absorption'!I4</f>
        <v>38.168999999999997</v>
      </c>
      <c r="H3" s="169">
        <f>'Tab 12 - Land Absorption'!J4</f>
        <v>72.396999999999991</v>
      </c>
      <c r="I3" s="169">
        <v>76.210999999999999</v>
      </c>
      <c r="J3" s="169">
        <v>124.931</v>
      </c>
      <c r="K3" s="169">
        <f>'Tab 12 - Land Absorption'!M4</f>
        <v>68.314769577606583</v>
      </c>
      <c r="L3" s="122"/>
      <c r="M3" s="122"/>
    </row>
    <row r="4" spans="1:14" x14ac:dyDescent="0.25">
      <c r="A4" s="53" t="s">
        <v>156</v>
      </c>
      <c r="B4" s="53"/>
      <c r="C4" s="53"/>
      <c r="D4" s="169">
        <f>'Tab 12 - Land Absorption'!F5</f>
        <v>1.167</v>
      </c>
      <c r="E4" s="169">
        <f>'Tab 12 - Land Absorption'!G5</f>
        <v>10.321</v>
      </c>
      <c r="F4" s="169">
        <f>'Tab 12 - Land Absorption'!H5</f>
        <v>14.269</v>
      </c>
      <c r="G4" s="169">
        <f>'Tab 12 - Land Absorption'!I5</f>
        <v>0.81899999999999995</v>
      </c>
      <c r="H4" s="169">
        <f>'Tab 12 - Land Absorption'!J5</f>
        <v>19.201000000000001</v>
      </c>
      <c r="I4" s="169">
        <v>14.285</v>
      </c>
      <c r="J4" s="169">
        <v>15.722</v>
      </c>
      <c r="K4" s="169">
        <f>'Tab 12 - Land Absorption'!M5</f>
        <v>11.615191291948353</v>
      </c>
      <c r="L4" s="122"/>
      <c r="M4" s="122"/>
    </row>
    <row r="5" spans="1:14" x14ac:dyDescent="0.25">
      <c r="A5" s="53" t="s">
        <v>157</v>
      </c>
      <c r="B5" s="53"/>
      <c r="C5" s="53"/>
      <c r="D5" s="169">
        <f>'Tab 12 - Land Absorption'!F6</f>
        <v>0</v>
      </c>
      <c r="E5" s="169">
        <f>'Tab 12 - Land Absorption'!G6</f>
        <v>0</v>
      </c>
      <c r="F5" s="169">
        <f>'Tab 12 - Land Absorption'!H6</f>
        <v>0</v>
      </c>
      <c r="G5" s="169">
        <f>'Tab 12 - Land Absorption'!I6</f>
        <v>0</v>
      </c>
      <c r="H5" s="169">
        <f>'Tab 12 - Land Absorption'!J6</f>
        <v>15.467000000000001</v>
      </c>
      <c r="I5" s="169">
        <f>'Tab 12 - Land Absorption'!K6</f>
        <v>10.281000000000001</v>
      </c>
      <c r="J5" s="169">
        <v>32.177</v>
      </c>
      <c r="K5" s="169">
        <f>'Tab 12 - Land Absorption'!M6</f>
        <v>11.481902264532259</v>
      </c>
      <c r="L5" s="122"/>
      <c r="M5" s="122"/>
    </row>
    <row r="6" spans="1:14" x14ac:dyDescent="0.25">
      <c r="A6" s="53" t="s">
        <v>158</v>
      </c>
      <c r="B6" s="53"/>
      <c r="C6" s="53"/>
      <c r="D6" s="169">
        <f>'Tab 12 - Land Absorption'!F7</f>
        <v>9.4930000000000003</v>
      </c>
      <c r="E6" s="169">
        <v>81.025999999999996</v>
      </c>
      <c r="F6" s="169">
        <f>'Tab 12 - Land Absorption'!H7</f>
        <v>67.72</v>
      </c>
      <c r="G6" s="169">
        <f>'Tab 12 - Land Absorption'!I7</f>
        <v>17.245000000000001</v>
      </c>
      <c r="H6" s="169">
        <f>'Tab 12 - Land Absorption'!J7</f>
        <v>28.114000000000001</v>
      </c>
      <c r="I6" s="169">
        <v>51.487000000000002</v>
      </c>
      <c r="J6" s="169">
        <v>73.144999999999996</v>
      </c>
      <c r="K6" s="169">
        <f>'Tab 12 - Land Absorption'!M7</f>
        <v>42.691931765385554</v>
      </c>
      <c r="L6" s="122"/>
      <c r="M6" s="122"/>
    </row>
    <row r="7" spans="1:14" x14ac:dyDescent="0.25">
      <c r="A7" s="53" t="s">
        <v>159</v>
      </c>
      <c r="B7" s="53"/>
      <c r="C7" s="53"/>
      <c r="D7" s="169">
        <f>'Tab 12 - Land Absorption'!F8</f>
        <v>42.799000000000007</v>
      </c>
      <c r="E7" s="169">
        <f>'Tab 12 - Land Absorption'!G8</f>
        <v>155.745</v>
      </c>
      <c r="F7" s="169">
        <f>'Tab 12 - Land Absorption'!H8</f>
        <v>190.30799999999999</v>
      </c>
      <c r="G7" s="169">
        <f>'Tab 12 - Land Absorption'!I8</f>
        <v>86.745999999999995</v>
      </c>
      <c r="H7" s="169">
        <f>'Tab 12 - Land Absorption'!J8</f>
        <v>87.592000000000013</v>
      </c>
      <c r="I7" s="169">
        <v>158.012</v>
      </c>
      <c r="J7" s="169">
        <v>194.441</v>
      </c>
      <c r="K7" s="169">
        <f>'Tab 12 - Land Absorption'!M8</f>
        <v>120.53293101622747</v>
      </c>
      <c r="L7" s="122"/>
      <c r="M7" s="122"/>
    </row>
    <row r="8" spans="1:14" x14ac:dyDescent="0.25">
      <c r="A8" s="53" t="s">
        <v>28</v>
      </c>
      <c r="B8" s="53"/>
      <c r="C8" s="53"/>
      <c r="D8" s="169">
        <f>'Tab 12 - Land Absorption'!F9</f>
        <v>15.196999999999999</v>
      </c>
      <c r="E8" s="169">
        <f>'Tab 12 - Land Absorption'!G9</f>
        <v>19.170999999999999</v>
      </c>
      <c r="F8" s="169">
        <f>'Tab 12 - Land Absorption'!H9</f>
        <v>22.802999999999997</v>
      </c>
      <c r="G8" s="169">
        <f>'Tab 12 - Land Absorption'!I9</f>
        <v>3.25</v>
      </c>
      <c r="H8" s="169">
        <f>'Tab 12 - Land Absorption'!J9</f>
        <v>38.161000000000008</v>
      </c>
      <c r="I8" s="169">
        <f>'Tab 12 - Land Absorption'!K9</f>
        <v>53.806000000000004</v>
      </c>
      <c r="J8" s="169">
        <v>65.09</v>
      </c>
      <c r="K8" s="169">
        <f>'Tab 12 - Land Absorption'!M9</f>
        <v>35.363274084299803</v>
      </c>
      <c r="L8" s="122"/>
      <c r="M8" s="122"/>
    </row>
    <row r="9" spans="1:14" x14ac:dyDescent="0.25">
      <c r="A9" s="57" t="s">
        <v>160</v>
      </c>
      <c r="B9" s="57"/>
      <c r="C9" s="57"/>
      <c r="D9" s="170">
        <f>SUM(D3:D8)</f>
        <v>78.103000000000009</v>
      </c>
      <c r="E9" s="170">
        <f t="shared" ref="E9:K9" si="0">SUM(E3:E8)</f>
        <v>342.762</v>
      </c>
      <c r="F9" s="170">
        <f t="shared" si="0"/>
        <v>372.233</v>
      </c>
      <c r="G9" s="170">
        <f t="shared" si="0"/>
        <v>146.22899999999998</v>
      </c>
      <c r="H9" s="170">
        <f t="shared" si="0"/>
        <v>260.93200000000002</v>
      </c>
      <c r="I9" s="170">
        <f t="shared" si="0"/>
        <v>364.08199999999999</v>
      </c>
      <c r="J9" s="170">
        <f t="shared" si="0"/>
        <v>505.50599999999997</v>
      </c>
      <c r="K9" s="170">
        <f t="shared" si="0"/>
        <v>290</v>
      </c>
      <c r="L9" s="58"/>
      <c r="M9" s="58"/>
      <c r="N9" s="60"/>
    </row>
    <row r="10" spans="1:14" x14ac:dyDescent="0.25">
      <c r="A10" s="57"/>
      <c r="B10" s="57"/>
      <c r="C10" s="57"/>
      <c r="D10" s="53"/>
      <c r="E10" s="53"/>
      <c r="F10" s="53"/>
      <c r="G10" s="53"/>
      <c r="H10" s="53"/>
      <c r="I10" s="53"/>
      <c r="J10" s="53"/>
      <c r="K10" s="53"/>
      <c r="L10" s="53"/>
      <c r="M10" s="53"/>
    </row>
    <row r="11" spans="1:14" x14ac:dyDescent="0.25">
      <c r="A11" s="53"/>
      <c r="B11" s="53"/>
      <c r="C11" s="53"/>
      <c r="D11" s="54"/>
      <c r="E11" s="54"/>
      <c r="F11" s="54"/>
      <c r="G11" s="54"/>
      <c r="H11" s="54"/>
      <c r="I11" s="54"/>
      <c r="J11" s="54"/>
      <c r="K11" s="54"/>
      <c r="L11" s="54"/>
      <c r="M11" s="54"/>
    </row>
    <row r="12" spans="1:14" x14ac:dyDescent="0.25">
      <c r="A12" s="120" t="s">
        <v>155</v>
      </c>
      <c r="B12" s="120"/>
      <c r="C12" s="120"/>
      <c r="D12" s="54"/>
      <c r="E12" s="54"/>
      <c r="F12" s="54"/>
      <c r="G12" s="54"/>
      <c r="H12" s="54"/>
      <c r="I12" s="54"/>
      <c r="J12" s="54"/>
      <c r="K12" s="54"/>
      <c r="L12" s="54"/>
      <c r="M12" s="54"/>
    </row>
    <row r="13" spans="1:14" x14ac:dyDescent="0.25">
      <c r="A13" s="53"/>
      <c r="B13" s="53"/>
      <c r="C13" s="53"/>
      <c r="D13" s="54"/>
      <c r="E13" s="54"/>
      <c r="F13" s="54"/>
      <c r="G13" s="54"/>
      <c r="H13" s="54"/>
      <c r="I13" s="54"/>
      <c r="J13" s="54"/>
      <c r="K13" s="54"/>
      <c r="L13" s="54"/>
      <c r="M13" s="54"/>
    </row>
    <row r="14" spans="1:14" x14ac:dyDescent="0.25">
      <c r="A14" s="53" t="s">
        <v>161</v>
      </c>
      <c r="B14" s="53"/>
      <c r="C14" s="53"/>
      <c r="D14" s="55">
        <f>'Tab 5 - Capital'!I30</f>
        <v>0</v>
      </c>
      <c r="E14" s="55">
        <f>'Tab 5 - Capital'!J30</f>
        <v>0</v>
      </c>
      <c r="F14" s="55">
        <f>'Tab 5 - Capital'!K30</f>
        <v>0</v>
      </c>
      <c r="G14" s="55">
        <f>'Tab 5 - Capital'!L30</f>
        <v>277.58066046352133</v>
      </c>
      <c r="H14" s="55">
        <f>'Tab 5 - Capital'!M30</f>
        <v>925.61691618164264</v>
      </c>
      <c r="I14" s="55">
        <f>'Tab 5 - Capital'!N30</f>
        <v>7811.4784098531381</v>
      </c>
      <c r="J14" s="55">
        <f>'Tab 5 - Capital'!O30</f>
        <v>9129.6623166286245</v>
      </c>
      <c r="K14" s="55">
        <f>'Tab 5 - Capital'!P30</f>
        <v>13.278720000000002</v>
      </c>
      <c r="L14" s="55"/>
      <c r="M14" s="55"/>
    </row>
    <row r="15" spans="1:14" x14ac:dyDescent="0.25">
      <c r="A15" s="53" t="s">
        <v>162</v>
      </c>
      <c r="B15" s="53"/>
      <c r="C15" s="53"/>
      <c r="D15" s="55">
        <f>'Tab 5 - Capital'!I39</f>
        <v>0</v>
      </c>
      <c r="E15" s="55">
        <f>'Tab 5 - Capital'!J39</f>
        <v>0</v>
      </c>
      <c r="F15" s="55">
        <f>'Tab 5 - Capital'!K39</f>
        <v>0</v>
      </c>
      <c r="G15" s="55">
        <f>'Tab 5 - Capital'!L39</f>
        <v>277.58066046352133</v>
      </c>
      <c r="H15" s="55">
        <f>'Tab 5 - Capital'!M39</f>
        <v>925.61691618164264</v>
      </c>
      <c r="I15" s="55">
        <f>'Tab 5 - Capital'!N39</f>
        <v>7811.4784098531381</v>
      </c>
      <c r="J15" s="55">
        <f>'Tab 5 - Capital'!O39</f>
        <v>9129.6623166286245</v>
      </c>
      <c r="K15" s="55">
        <f>'Tab 5 - Capital'!P39</f>
        <v>13.278720000000002</v>
      </c>
      <c r="L15" s="55"/>
      <c r="M15" s="55"/>
    </row>
    <row r="16" spans="1:14" x14ac:dyDescent="0.25">
      <c r="A16" s="53"/>
      <c r="B16" s="53"/>
      <c r="C16" s="53"/>
      <c r="D16" s="55"/>
      <c r="E16" s="55"/>
      <c r="F16" s="55"/>
      <c r="G16" s="55"/>
      <c r="H16" s="55"/>
      <c r="I16" s="55"/>
      <c r="J16" s="55"/>
      <c r="K16" s="55"/>
      <c r="L16" s="55"/>
      <c r="M16" s="55"/>
    </row>
    <row r="17" spans="1:15" x14ac:dyDescent="0.25">
      <c r="A17" s="53" t="s">
        <v>163</v>
      </c>
      <c r="B17" s="53"/>
      <c r="C17" s="53"/>
      <c r="D17" s="55">
        <f>'Tab 6 - Bow'!S137</f>
        <v>0</v>
      </c>
      <c r="E17" s="55">
        <f>'Tab 6 - Bow'!T137</f>
        <v>0</v>
      </c>
      <c r="F17" s="55">
        <f>'Tab 6 - Bow'!U137</f>
        <v>0</v>
      </c>
      <c r="G17" s="55">
        <f>'Tab 6 - Bow'!V137</f>
        <v>1.0677149059603921</v>
      </c>
      <c r="H17" s="55">
        <f>'Tab 6 - Bow'!W137</f>
        <v>6.7096498694590849</v>
      </c>
      <c r="I17" s="55">
        <f>'Tab 6 - Bow'!X137</f>
        <v>40.05147069669443</v>
      </c>
      <c r="J17" s="55">
        <f>'Tab 6 - Bow'!Y137</f>
        <v>165.66224967770845</v>
      </c>
      <c r="K17" s="55">
        <f>'Tab 6 - Bow'!Z137</f>
        <v>406.11652563832405</v>
      </c>
      <c r="L17" s="55"/>
      <c r="M17" s="55"/>
    </row>
    <row r="18" spans="1:15" x14ac:dyDescent="0.25">
      <c r="A18" s="53" t="s">
        <v>164</v>
      </c>
      <c r="B18" s="53"/>
      <c r="C18" s="53"/>
      <c r="D18" s="55">
        <f>'Tab 6 - Bow'!S138</f>
        <v>0</v>
      </c>
      <c r="E18" s="55">
        <f>'Tab 6 - Bow'!T138</f>
        <v>0</v>
      </c>
      <c r="F18" s="55">
        <f>'Tab 6 - Bow'!U138</f>
        <v>0</v>
      </c>
      <c r="G18" s="55">
        <f>'Tab 6 - Bow'!V138</f>
        <v>2.1128611464333336</v>
      </c>
      <c r="H18" s="55">
        <f>'Tab 6 - Bow'!W138</f>
        <v>10.710023137832557</v>
      </c>
      <c r="I18" s="55">
        <f>'Tab 6 - Bow'!X138</f>
        <v>35.538935050424456</v>
      </c>
      <c r="J18" s="55">
        <f>'Tab 6 - Bow'!Y138</f>
        <v>376.73999940090982</v>
      </c>
      <c r="K18" s="55">
        <f>'Tab 6 - Bow'!Z138</f>
        <v>764.62502746326641</v>
      </c>
      <c r="L18" s="55"/>
      <c r="M18" s="55"/>
    </row>
    <row r="19" spans="1:15" x14ac:dyDescent="0.25">
      <c r="A19" s="53" t="s">
        <v>165</v>
      </c>
      <c r="B19" s="53"/>
      <c r="C19" s="53"/>
      <c r="D19" s="55">
        <f>'Tab 6 - Bow'!S139</f>
        <v>0</v>
      </c>
      <c r="E19" s="55">
        <f>'Tab 6 - Bow'!T139</f>
        <v>0</v>
      </c>
      <c r="F19" s="55">
        <f>'Tab 6 - Bow'!U139</f>
        <v>0</v>
      </c>
      <c r="G19" s="55">
        <f>'Tab 6 - Bow'!V139</f>
        <v>3.1805760523937257</v>
      </c>
      <c r="H19" s="55">
        <f>'Tab 6 - Bow'!W139</f>
        <v>17.419673007291642</v>
      </c>
      <c r="I19" s="55">
        <f>'Tab 6 - Bow'!X139</f>
        <v>75.590405747118893</v>
      </c>
      <c r="J19" s="55">
        <f>'Tab 6 - Bow'!Y139</f>
        <v>542.4022490786183</v>
      </c>
      <c r="K19" s="55">
        <f>'Tab 6 - Bow'!Z139</f>
        <v>1170.7415531015906</v>
      </c>
      <c r="L19" s="55"/>
      <c r="M19" s="55"/>
    </row>
    <row r="21" spans="1:15" x14ac:dyDescent="0.25">
      <c r="A21" s="57" t="s">
        <v>166</v>
      </c>
      <c r="B21" s="57"/>
      <c r="C21" s="57"/>
      <c r="D21" s="55">
        <v>6983</v>
      </c>
      <c r="E21" s="55">
        <v>7213</v>
      </c>
      <c r="F21" s="55">
        <v>7452</v>
      </c>
      <c r="G21" s="55">
        <v>8615</v>
      </c>
      <c r="H21" s="55">
        <v>8899</v>
      </c>
      <c r="I21" s="55">
        <v>9193</v>
      </c>
      <c r="J21" s="55">
        <v>9496</v>
      </c>
      <c r="K21" s="55">
        <v>9809</v>
      </c>
      <c r="L21" s="55"/>
      <c r="M21" s="55"/>
    </row>
    <row r="22" spans="1:15" x14ac:dyDescent="0.25">
      <c r="A22" s="57" t="s">
        <v>167</v>
      </c>
      <c r="B22" s="57"/>
      <c r="C22" s="121">
        <f>(305034.08-11590.96-9984.61-6710.28)/1000</f>
        <v>276.74822999999998</v>
      </c>
      <c r="D22" s="55">
        <f>D3*D21/1000+21.221</f>
        <v>87.189401000000018</v>
      </c>
      <c r="E22" s="55">
        <f>(E3-1.583)*E21/1000+24.236-21.221</f>
        <v>543.38410800000008</v>
      </c>
      <c r="F22" s="55">
        <f>F3*F21/1000+19.39</f>
        <v>594.18511599999988</v>
      </c>
      <c r="G22" s="55">
        <f>G3*G21/1000+6.774</f>
        <v>335.59993500000002</v>
      </c>
      <c r="H22" s="55">
        <f>H3*H21/1000+14.876</f>
        <v>659.13690299999996</v>
      </c>
      <c r="I22" s="55">
        <f>I3*I21/1000</f>
        <v>700.60772299999996</v>
      </c>
      <c r="J22" s="55">
        <f>J3*J21/1000</f>
        <v>1186.3447760000001</v>
      </c>
      <c r="K22" s="55">
        <f>K3*K21/1000</f>
        <v>670.09957478674289</v>
      </c>
      <c r="L22" s="55">
        <f>-535.79954-0.08149-K3*K21*'Tab 11 - General'!B23/1000</f>
        <v>-897.73480038484126</v>
      </c>
      <c r="M22" s="55">
        <f>-K3*K21*'Tab 11 - General'!C23/1000</f>
        <v>-308.24580440190181</v>
      </c>
    </row>
    <row r="23" spans="1:15" x14ac:dyDescent="0.25">
      <c r="A23" s="57" t="s">
        <v>168</v>
      </c>
      <c r="B23" s="57"/>
      <c r="C23" s="121"/>
      <c r="D23" s="121">
        <f>150.29815-22.1076</f>
        <v>128.19055</v>
      </c>
      <c r="E23" s="121">
        <f>220.27462+0.57624+6.468</f>
        <v>227.31886</v>
      </c>
      <c r="F23" s="121">
        <v>203.98677000000001</v>
      </c>
      <c r="G23" s="121">
        <v>294.56</v>
      </c>
      <c r="H23" s="121">
        <f>360.741+915.223</f>
        <v>1275.9639999999999</v>
      </c>
      <c r="I23" s="121">
        <v>313.61599999999999</v>
      </c>
      <c r="J23" s="121">
        <v>221.34232999999995</v>
      </c>
      <c r="K23" s="121">
        <f>20074.39*4/1000</f>
        <v>80.297560000000004</v>
      </c>
      <c r="L23" s="121"/>
      <c r="M23" s="121"/>
    </row>
    <row r="24" spans="1:15" x14ac:dyDescent="0.25">
      <c r="A24" s="57"/>
      <c r="B24" s="57"/>
      <c r="C24" s="121"/>
      <c r="D24" s="53"/>
      <c r="E24" s="55"/>
      <c r="F24" s="55"/>
      <c r="G24" s="55"/>
      <c r="H24" s="55"/>
      <c r="I24" s="55"/>
      <c r="J24" s="55"/>
      <c r="K24" s="55"/>
      <c r="L24" s="55"/>
      <c r="M24" s="55"/>
    </row>
    <row r="25" spans="1:15" x14ac:dyDescent="0.25">
      <c r="A25" s="57" t="s">
        <v>169</v>
      </c>
      <c r="B25" s="57"/>
      <c r="C25" s="121"/>
      <c r="D25" s="121">
        <f>+D22+D23-D19</f>
        <v>215.37995100000001</v>
      </c>
      <c r="E25" s="121">
        <f t="shared" ref="E25:J25" si="1">+E22+E23-E19</f>
        <v>770.70296800000006</v>
      </c>
      <c r="F25" s="121">
        <f t="shared" si="1"/>
        <v>798.17188599999986</v>
      </c>
      <c r="G25" s="121">
        <f t="shared" si="1"/>
        <v>626.97935894760633</v>
      </c>
      <c r="H25" s="121">
        <f t="shared" si="1"/>
        <v>1917.6812299927083</v>
      </c>
      <c r="I25" s="121">
        <f t="shared" si="1"/>
        <v>938.63331725288106</v>
      </c>
      <c r="J25" s="121">
        <f t="shared" si="1"/>
        <v>865.28485692138179</v>
      </c>
      <c r="K25" s="121">
        <f>+K22+K23-K19</f>
        <v>-420.34441831484776</v>
      </c>
      <c r="L25" s="121"/>
      <c r="M25" s="121"/>
    </row>
    <row r="26" spans="1:15" x14ac:dyDescent="0.25">
      <c r="A26" s="57" t="s">
        <v>170</v>
      </c>
      <c r="B26" s="228">
        <v>6480.8709273047198</v>
      </c>
      <c r="C26" s="121">
        <f>B26+C22</f>
        <v>6757.6191573047199</v>
      </c>
      <c r="D26" s="121">
        <f>C26+D25</f>
        <v>6972.9991083047198</v>
      </c>
      <c r="E26" s="121">
        <f t="shared" ref="E26:K26" si="2">D26+E25</f>
        <v>7743.7020763047203</v>
      </c>
      <c r="F26" s="121">
        <f t="shared" si="2"/>
        <v>8541.8739623047204</v>
      </c>
      <c r="G26" s="121">
        <f t="shared" si="2"/>
        <v>9168.8533212523271</v>
      </c>
      <c r="H26" s="121">
        <f t="shared" si="2"/>
        <v>11086.534551245035</v>
      </c>
      <c r="I26" s="121">
        <f t="shared" si="2"/>
        <v>12025.167868497916</v>
      </c>
      <c r="J26" s="121">
        <f t="shared" si="2"/>
        <v>12890.452725419298</v>
      </c>
      <c r="K26" s="121">
        <f t="shared" si="2"/>
        <v>12470.10830710445</v>
      </c>
      <c r="L26" s="121"/>
      <c r="M26" s="121"/>
      <c r="N26" s="60">
        <f>K26+L22+M22</f>
        <v>11264.127702317706</v>
      </c>
      <c r="O26" s="171"/>
    </row>
    <row r="29" spans="1:15" x14ac:dyDescent="0.25">
      <c r="A29" s="120" t="s">
        <v>157</v>
      </c>
      <c r="B29" s="120"/>
      <c r="C29" s="120"/>
      <c r="D29" s="54"/>
      <c r="E29" s="54"/>
      <c r="F29" s="54"/>
      <c r="G29" s="54"/>
      <c r="H29" s="54"/>
      <c r="I29" s="54"/>
      <c r="J29" s="54"/>
      <c r="K29" s="54"/>
      <c r="L29" s="54"/>
      <c r="M29" s="54"/>
    </row>
    <row r="30" spans="1:15" x14ac:dyDescent="0.25">
      <c r="A30" s="53"/>
      <c r="B30" s="53"/>
      <c r="C30" s="53"/>
      <c r="D30" s="54"/>
      <c r="E30" s="54"/>
      <c r="F30" s="54"/>
      <c r="G30" s="54"/>
      <c r="H30" s="54"/>
      <c r="I30" s="54"/>
      <c r="J30" s="54"/>
      <c r="K30" s="54"/>
      <c r="L30" s="54"/>
      <c r="M30" s="54"/>
    </row>
    <row r="31" spans="1:15" x14ac:dyDescent="0.25">
      <c r="A31" s="53" t="s">
        <v>161</v>
      </c>
      <c r="B31" s="53"/>
      <c r="C31" s="53"/>
      <c r="D31" s="55">
        <f>'Tab 5 - Capital'!I29</f>
        <v>0</v>
      </c>
      <c r="E31" s="55">
        <f>'Tab 5 - Capital'!J29</f>
        <v>0</v>
      </c>
      <c r="F31" s="55">
        <f>'Tab 5 - Capital'!K29</f>
        <v>0</v>
      </c>
      <c r="G31" s="55">
        <f>'Tab 5 - Capital'!L29</f>
        <v>0</v>
      </c>
      <c r="H31" s="55">
        <f>'Tab 5 - Capital'!M29</f>
        <v>133.26289443135144</v>
      </c>
      <c r="I31" s="55">
        <f>'Tab 5 - Capital'!N29</f>
        <v>816.15934643722403</v>
      </c>
      <c r="J31" s="55">
        <f>'Tab 5 - Capital'!O29</f>
        <v>3098.1528829447675</v>
      </c>
      <c r="K31" s="55">
        <f>'Tab 5 - Capital'!P29</f>
        <v>4993.0007400000004</v>
      </c>
      <c r="L31" s="55"/>
      <c r="M31" s="55"/>
    </row>
    <row r="32" spans="1:15" x14ac:dyDescent="0.25">
      <c r="A32" s="53" t="s">
        <v>162</v>
      </c>
      <c r="B32" s="53"/>
      <c r="C32" s="53"/>
      <c r="D32" s="55">
        <f>'Tab 5 - Capital'!I38</f>
        <v>0</v>
      </c>
      <c r="E32" s="55">
        <f>'Tab 5 - Capital'!J38</f>
        <v>0</v>
      </c>
      <c r="F32" s="55">
        <f>'Tab 5 - Capital'!K38</f>
        <v>0</v>
      </c>
      <c r="G32" s="55">
        <f>'Tab 5 - Capital'!L38</f>
        <v>0</v>
      </c>
      <c r="H32" s="55">
        <f>'Tab 5 - Capital'!M38</f>
        <v>133.26289443135144</v>
      </c>
      <c r="I32" s="55">
        <f>'Tab 5 - Capital'!N38</f>
        <v>816.15934643722403</v>
      </c>
      <c r="J32" s="55">
        <f>'Tab 5 - Capital'!O38</f>
        <v>3098.1528829447675</v>
      </c>
      <c r="K32" s="55">
        <f>'Tab 5 - Capital'!P38</f>
        <v>4993.0007400000004</v>
      </c>
      <c r="L32" s="55"/>
      <c r="M32" s="55"/>
    </row>
    <row r="33" spans="1:15" x14ac:dyDescent="0.25">
      <c r="A33" s="53"/>
      <c r="B33" s="53"/>
      <c r="C33" s="53"/>
      <c r="D33" s="55"/>
      <c r="E33" s="55"/>
      <c r="F33" s="55"/>
      <c r="G33" s="55"/>
      <c r="H33" s="55"/>
      <c r="I33" s="55"/>
      <c r="J33" s="55"/>
      <c r="K33" s="55"/>
      <c r="L33" s="55"/>
      <c r="M33" s="55"/>
    </row>
    <row r="34" spans="1:15" x14ac:dyDescent="0.25">
      <c r="A34" s="53" t="s">
        <v>163</v>
      </c>
      <c r="B34" s="53"/>
      <c r="C34" s="53"/>
      <c r="D34" s="55">
        <f>'Tab 9 - Fish'!S137</f>
        <v>0</v>
      </c>
      <c r="E34" s="55">
        <f>'Tab 9 - Fish'!T137</f>
        <v>0</v>
      </c>
      <c r="F34" s="55">
        <f>'Tab 9 - Fish'!U137</f>
        <v>0</v>
      </c>
      <c r="G34" s="55">
        <f>'Tab 9 - Fish'!V137</f>
        <v>0</v>
      </c>
      <c r="H34" s="55">
        <f>'Tab 9 - Fish'!W137</f>
        <v>0</v>
      </c>
      <c r="I34" s="55">
        <f>'Tab 9 - Fish'!X137</f>
        <v>1.9417967631999997</v>
      </c>
      <c r="J34" s="55">
        <f>'Tab 9 - Fish'!Y137</f>
        <v>20.031059206241217</v>
      </c>
      <c r="K34" s="55">
        <f>'Tab 9 - Fish'!Z137</f>
        <v>138.99466042837355</v>
      </c>
      <c r="L34" s="55"/>
      <c r="M34" s="55"/>
    </row>
    <row r="35" spans="1:15" x14ac:dyDescent="0.25">
      <c r="A35" s="53" t="s">
        <v>164</v>
      </c>
      <c r="B35" s="53"/>
      <c r="C35" s="53"/>
      <c r="D35" s="55">
        <f>'Tab 9 - Fish'!S138</f>
        <v>0</v>
      </c>
      <c r="E35" s="55">
        <f>'Tab 9 - Fish'!T138</f>
        <v>0</v>
      </c>
      <c r="F35" s="55">
        <f>'Tab 9 - Fish'!U138</f>
        <v>0</v>
      </c>
      <c r="G35" s="55">
        <f>'Tab 9 - Fish'!V138</f>
        <v>0</v>
      </c>
      <c r="H35" s="55">
        <f>'Tab 9 - Fish'!W138</f>
        <v>0</v>
      </c>
      <c r="I35" s="55">
        <f>'Tab 9 - Fish'!X138</f>
        <v>5.2169634821999997</v>
      </c>
      <c r="J35" s="55">
        <f>'Tab 9 - Fish'!Y138</f>
        <v>35.497259133386265</v>
      </c>
      <c r="K35" s="55">
        <f>'Tab 9 - Fish'!Z138</f>
        <v>316.42162420064051</v>
      </c>
      <c r="L35" s="55"/>
      <c r="M35" s="55"/>
    </row>
    <row r="36" spans="1:15" x14ac:dyDescent="0.25">
      <c r="A36" s="53" t="s">
        <v>165</v>
      </c>
      <c r="B36" s="53"/>
      <c r="C36" s="53"/>
      <c r="D36" s="55">
        <f>'Tab 9 - Fish'!S139</f>
        <v>0</v>
      </c>
      <c r="E36" s="55">
        <f>'Tab 9 - Fish'!T139</f>
        <v>0</v>
      </c>
      <c r="F36" s="55">
        <f>'Tab 9 - Fish'!U139</f>
        <v>0</v>
      </c>
      <c r="G36" s="55">
        <f>'Tab 9 - Fish'!V139</f>
        <v>0</v>
      </c>
      <c r="H36" s="55">
        <f>'Tab 9 - Fish'!W139</f>
        <v>0</v>
      </c>
      <c r="I36" s="55">
        <f>'Tab 9 - Fish'!X139</f>
        <v>7.1587602453999999</v>
      </c>
      <c r="J36" s="55">
        <f>'Tab 9 - Fish'!Y139</f>
        <v>55.528318339627482</v>
      </c>
      <c r="K36" s="55">
        <f>'Tab 9 - Fish'!Z139</f>
        <v>455.41628462901406</v>
      </c>
      <c r="L36" s="55"/>
      <c r="M36" s="55"/>
    </row>
    <row r="38" spans="1:15" x14ac:dyDescent="0.25">
      <c r="A38" s="57" t="s">
        <v>166</v>
      </c>
      <c r="B38" s="57"/>
      <c r="C38" s="57"/>
      <c r="D38" s="55">
        <v>0</v>
      </c>
      <c r="E38" s="55">
        <v>0</v>
      </c>
      <c r="F38" s="55">
        <v>0</v>
      </c>
      <c r="G38" s="55">
        <v>22221</v>
      </c>
      <c r="H38" s="55">
        <v>22954</v>
      </c>
      <c r="I38" s="55">
        <v>23711</v>
      </c>
      <c r="J38" s="55">
        <v>24493</v>
      </c>
      <c r="K38" s="55">
        <v>25301</v>
      </c>
      <c r="L38" s="55"/>
      <c r="M38" s="55"/>
    </row>
    <row r="39" spans="1:15" x14ac:dyDescent="0.25">
      <c r="A39" s="57" t="s">
        <v>167</v>
      </c>
      <c r="B39" s="57"/>
      <c r="C39" s="121">
        <f>3082.19/1000</f>
        <v>3.0821900000000002</v>
      </c>
      <c r="D39" s="55">
        <v>0</v>
      </c>
      <c r="E39" s="55">
        <v>0</v>
      </c>
      <c r="F39" s="55">
        <v>0</v>
      </c>
      <c r="G39" s="55">
        <v>0</v>
      </c>
      <c r="H39" s="56">
        <v>355.02951800000005</v>
      </c>
      <c r="I39" s="56">
        <f>I5*I38/1000</f>
        <v>243.77279100000004</v>
      </c>
      <c r="J39" s="56">
        <f>J5*J38/1000</f>
        <v>788.1112609999999</v>
      </c>
      <c r="K39" s="56">
        <f>K5*K38/1000</f>
        <v>290.50360919493068</v>
      </c>
      <c r="L39" s="166">
        <f>-366.11481-K4*K38*'Tab 11 - General'!B23/1000</f>
        <v>-524.80782563389607</v>
      </c>
      <c r="M39" s="166">
        <f>-K5*K38*'Tab 11 - General'!C23/1000</f>
        <v>-133.63166022966814</v>
      </c>
    </row>
    <row r="40" spans="1:15" x14ac:dyDescent="0.25">
      <c r="A40" s="57" t="s">
        <v>168</v>
      </c>
      <c r="B40" s="57"/>
      <c r="C40" s="121"/>
      <c r="D40" s="121">
        <v>9.5090000000000003</v>
      </c>
      <c r="E40" s="121">
        <v>15.92</v>
      </c>
      <c r="F40" s="121">
        <v>13.954650000000001</v>
      </c>
      <c r="G40" s="121">
        <v>19.022079999999999</v>
      </c>
      <c r="H40" s="121">
        <v>149.24102999999999</v>
      </c>
      <c r="I40" s="121">
        <v>23.173359999999999</v>
      </c>
      <c r="J40" s="121">
        <v>21.715140000000002</v>
      </c>
      <c r="K40" s="121">
        <f>2070.66*4/1000</f>
        <v>8.2826399999999989</v>
      </c>
      <c r="L40" s="121"/>
      <c r="M40" s="121"/>
    </row>
    <row r="41" spans="1:15" x14ac:dyDescent="0.25">
      <c r="A41" s="57"/>
      <c r="B41" s="57"/>
      <c r="C41" s="121"/>
      <c r="D41" s="53"/>
      <c r="E41" s="55"/>
      <c r="F41" s="55"/>
      <c r="G41" s="55"/>
      <c r="H41" s="55"/>
      <c r="I41" s="55"/>
      <c r="J41" s="55"/>
      <c r="K41" s="55"/>
      <c r="L41" s="55"/>
      <c r="M41" s="55"/>
    </row>
    <row r="42" spans="1:15" x14ac:dyDescent="0.25">
      <c r="A42" s="57" t="s">
        <v>169</v>
      </c>
      <c r="B42" s="57"/>
      <c r="C42" s="121"/>
      <c r="D42" s="121">
        <f>+D39+D40-D36</f>
        <v>9.5090000000000003</v>
      </c>
      <c r="E42" s="121">
        <f t="shared" ref="E42:J42" si="3">+E39+E40-E36</f>
        <v>15.92</v>
      </c>
      <c r="F42" s="121">
        <f t="shared" si="3"/>
        <v>13.954650000000001</v>
      </c>
      <c r="G42" s="121">
        <f t="shared" si="3"/>
        <v>19.022079999999999</v>
      </c>
      <c r="H42" s="121">
        <f t="shared" si="3"/>
        <v>504.27054800000008</v>
      </c>
      <c r="I42" s="121">
        <f t="shared" si="3"/>
        <v>259.78739075460004</v>
      </c>
      <c r="J42" s="121">
        <f t="shared" si="3"/>
        <v>754.29808266037242</v>
      </c>
      <c r="K42" s="121">
        <f>+K39+K40-K36</f>
        <v>-156.63003543408337</v>
      </c>
      <c r="L42" s="121"/>
      <c r="M42" s="121"/>
    </row>
    <row r="43" spans="1:15" x14ac:dyDescent="0.25">
      <c r="A43" s="57" t="s">
        <v>170</v>
      </c>
      <c r="B43" s="228">
        <v>485.81652610492972</v>
      </c>
      <c r="C43" s="121">
        <f>B43+C39</f>
        <v>488.89871610492975</v>
      </c>
      <c r="D43" s="121">
        <f>C43+D42</f>
        <v>498.40771610492976</v>
      </c>
      <c r="E43" s="121">
        <f t="shared" ref="E43:K43" si="4">D43+E42</f>
        <v>514.32771610492978</v>
      </c>
      <c r="F43" s="121">
        <f t="shared" si="4"/>
        <v>528.28236610492979</v>
      </c>
      <c r="G43" s="121">
        <f t="shared" si="4"/>
        <v>547.30444610492975</v>
      </c>
      <c r="H43" s="121">
        <f t="shared" si="4"/>
        <v>1051.5749941049298</v>
      </c>
      <c r="I43" s="121">
        <f t="shared" si="4"/>
        <v>1311.3623848595298</v>
      </c>
      <c r="J43" s="121">
        <f t="shared" si="4"/>
        <v>2065.6604675199023</v>
      </c>
      <c r="K43" s="121">
        <f t="shared" si="4"/>
        <v>1909.030432085819</v>
      </c>
      <c r="L43" s="121"/>
      <c r="M43" s="121"/>
      <c r="N43" s="60">
        <f>K43+L39+M39</f>
        <v>1250.5909462222548</v>
      </c>
      <c r="O43" s="171"/>
    </row>
    <row r="46" spans="1:15" x14ac:dyDescent="0.25">
      <c r="A46" s="120" t="s">
        <v>158</v>
      </c>
      <c r="B46" s="120"/>
      <c r="C46" s="120"/>
      <c r="D46" s="54"/>
      <c r="E46" s="54"/>
      <c r="F46" s="54"/>
      <c r="G46" s="54"/>
      <c r="H46" s="54"/>
      <c r="I46" s="54"/>
      <c r="J46" s="54"/>
      <c r="K46" s="54"/>
      <c r="L46" s="54"/>
      <c r="M46" s="54"/>
    </row>
    <row r="47" spans="1:15" x14ac:dyDescent="0.25">
      <c r="A47" s="53"/>
      <c r="B47" s="53"/>
      <c r="C47" s="53"/>
      <c r="D47" s="54"/>
      <c r="E47" s="54"/>
      <c r="F47" s="54"/>
      <c r="G47" s="54"/>
      <c r="H47" s="54"/>
      <c r="I47" s="54"/>
      <c r="J47" s="54"/>
      <c r="K47" s="54"/>
      <c r="L47" s="54"/>
      <c r="M47" s="54"/>
    </row>
    <row r="48" spans="1:15" x14ac:dyDescent="0.25">
      <c r="A48" s="53" t="s">
        <v>161</v>
      </c>
      <c r="B48" s="53"/>
      <c r="C48" s="53"/>
      <c r="D48" s="55">
        <f>'Tab 5 - Capital'!I27</f>
        <v>16.642683040047984</v>
      </c>
      <c r="E48" s="55">
        <f>'Tab 5 - Capital'!J27</f>
        <v>4606.322150519135</v>
      </c>
      <c r="F48" s="55">
        <f>'Tab 5 - Capital'!K27</f>
        <v>184.3099783111704</v>
      </c>
      <c r="G48" s="55">
        <f>'Tab 5 - Capital'!L27</f>
        <v>138.60817914459943</v>
      </c>
      <c r="H48" s="55">
        <f>'Tab 5 - Capital'!M27</f>
        <v>1353.2370613884834</v>
      </c>
      <c r="I48" s="55">
        <f>'Tab 5 - Capital'!N27</f>
        <v>3329.3232616613459</v>
      </c>
      <c r="J48" s="55">
        <f>'Tab 5 - Capital'!O27</f>
        <v>4946.7202338336529</v>
      </c>
      <c r="K48" s="55">
        <f>'Tab 5 - Capital'!P27</f>
        <v>1177.9238848</v>
      </c>
      <c r="L48" s="55"/>
      <c r="M48" s="55"/>
    </row>
    <row r="49" spans="1:15" x14ac:dyDescent="0.25">
      <c r="A49" s="53" t="s">
        <v>162</v>
      </c>
      <c r="B49" s="53"/>
      <c r="C49" s="53"/>
      <c r="D49" s="55">
        <f>'Tab 5 - Capital'!I36</f>
        <v>16.642683040047984</v>
      </c>
      <c r="E49" s="55">
        <f>'Tab 5 - Capital'!J36</f>
        <v>4606.322150519135</v>
      </c>
      <c r="F49" s="55">
        <f>'Tab 5 - Capital'!K36</f>
        <v>184.3099783111704</v>
      </c>
      <c r="G49" s="55">
        <f>'Tab 5 - Capital'!L36</f>
        <v>138.60817914459943</v>
      </c>
      <c r="H49" s="55">
        <f>'Tab 5 - Capital'!M36</f>
        <v>1353.2370613884834</v>
      </c>
      <c r="I49" s="55">
        <f>'Tab 5 - Capital'!N36</f>
        <v>3329.3232616613459</v>
      </c>
      <c r="J49" s="55">
        <f>'Tab 5 - Capital'!O36</f>
        <v>4946.7202338336529</v>
      </c>
      <c r="K49" s="55">
        <f>'Tab 5 - Capital'!P36</f>
        <v>1177.9238848</v>
      </c>
      <c r="L49" s="55"/>
      <c r="M49" s="55"/>
    </row>
    <row r="50" spans="1:15" x14ac:dyDescent="0.25">
      <c r="A50" s="53"/>
      <c r="B50" s="53"/>
      <c r="C50" s="53"/>
      <c r="D50" s="55"/>
      <c r="E50" s="55"/>
      <c r="F50" s="55"/>
      <c r="G50" s="55"/>
      <c r="H50" s="55"/>
      <c r="I50" s="55"/>
      <c r="J50" s="55"/>
      <c r="K50" s="55"/>
      <c r="L50" s="55"/>
      <c r="M50" s="55"/>
    </row>
    <row r="51" spans="1:15" x14ac:dyDescent="0.25">
      <c r="A51" s="53" t="s">
        <v>163</v>
      </c>
      <c r="B51" s="53"/>
      <c r="C51" s="53"/>
      <c r="D51" s="55">
        <f>'Tab 10 - Pine'!S137</f>
        <v>0</v>
      </c>
      <c r="E51" s="55">
        <f>'Tab 10 - Pine'!T137</f>
        <v>0</v>
      </c>
      <c r="F51" s="55">
        <f>'Tab 10 - Pine'!U137</f>
        <v>71.251289999999997</v>
      </c>
      <c r="G51" s="55">
        <f>'Tab 10 - Pine'!V137</f>
        <v>126.8241140940396</v>
      </c>
      <c r="H51" s="55">
        <f>'Tab 10 - Pine'!W137</f>
        <v>138.55175013054043</v>
      </c>
      <c r="I51" s="55">
        <f>'Tab 10 - Pine'!X137</f>
        <v>204.10592354010558</v>
      </c>
      <c r="J51" s="55">
        <f>'Tab 10 - Pine'!Y137</f>
        <v>325.77821390051406</v>
      </c>
      <c r="K51" s="55">
        <f>'Tab 10 - Pine'!Z137</f>
        <v>412.56702788689819</v>
      </c>
      <c r="L51" s="55"/>
      <c r="M51" s="55"/>
    </row>
    <row r="52" spans="1:15" x14ac:dyDescent="0.25">
      <c r="A52" s="53" t="s">
        <v>164</v>
      </c>
      <c r="B52" s="53"/>
      <c r="C52" s="53"/>
      <c r="D52" s="55">
        <f>'Tab 10 - Pine'!S138</f>
        <v>0</v>
      </c>
      <c r="E52" s="55">
        <f>'Tab 10 - Pine'!T138</f>
        <v>3.4950299999999999</v>
      </c>
      <c r="F52" s="55">
        <f>'Tab 10 - Pine'!U138</f>
        <v>125.14485000000001</v>
      </c>
      <c r="G52" s="55">
        <f>'Tab 10 - Pine'!V138</f>
        <v>151.16886885356666</v>
      </c>
      <c r="H52" s="55">
        <f>'Tab 10 - Pine'!W138</f>
        <v>154.57605686216743</v>
      </c>
      <c r="I52" s="55">
        <f>'Tab 10 - Pine'!X138</f>
        <v>226.37810146737553</v>
      </c>
      <c r="J52" s="55">
        <f>'Tab 10 - Pine'!Y138</f>
        <v>332.65780311270368</v>
      </c>
      <c r="K52" s="55">
        <f>'Tab 10 - Pine'!Z138</f>
        <v>495.74033430760358</v>
      </c>
      <c r="L52" s="55"/>
      <c r="M52" s="55"/>
    </row>
    <row r="53" spans="1:15" x14ac:dyDescent="0.25">
      <c r="A53" s="53" t="s">
        <v>165</v>
      </c>
      <c r="B53" s="53"/>
      <c r="C53" s="53"/>
      <c r="D53" s="55">
        <f>'Tab 10 - Pine'!S139</f>
        <v>0</v>
      </c>
      <c r="E53" s="55">
        <f>'Tab 10 - Pine'!T139</f>
        <v>3.4950299999999999</v>
      </c>
      <c r="F53" s="55">
        <f>'Tab 10 - Pine'!U139</f>
        <v>196.39614</v>
      </c>
      <c r="G53" s="55">
        <f>'Tab 10 - Pine'!V139</f>
        <v>277.99298294760627</v>
      </c>
      <c r="H53" s="55">
        <f>'Tab 10 - Pine'!W139</f>
        <v>293.12780699270786</v>
      </c>
      <c r="I53" s="55">
        <f>'Tab 10 - Pine'!X139</f>
        <v>430.48402500748114</v>
      </c>
      <c r="J53" s="55">
        <f>'Tab 10 - Pine'!Y139</f>
        <v>658.43601701321768</v>
      </c>
      <c r="K53" s="55">
        <f>'Tab 10 - Pine'!Z139</f>
        <v>908.30736219450182</v>
      </c>
      <c r="L53" s="55"/>
      <c r="M53" s="55"/>
    </row>
    <row r="55" spans="1:15" x14ac:dyDescent="0.25">
      <c r="A55" s="57" t="s">
        <v>166</v>
      </c>
      <c r="B55" s="57"/>
      <c r="C55" s="57"/>
      <c r="D55" s="55">
        <v>16812</v>
      </c>
      <c r="E55" s="55">
        <v>17367</v>
      </c>
      <c r="F55" s="55">
        <v>17940</v>
      </c>
      <c r="G55" s="55">
        <v>19568</v>
      </c>
      <c r="H55" s="55">
        <v>20214</v>
      </c>
      <c r="I55" s="55">
        <v>20881</v>
      </c>
      <c r="J55" s="55">
        <f>I55*1.033</f>
        <v>21570.072999999997</v>
      </c>
      <c r="K55" s="55">
        <v>22282</v>
      </c>
      <c r="L55" s="55"/>
      <c r="M55" s="55"/>
    </row>
    <row r="56" spans="1:15" x14ac:dyDescent="0.25">
      <c r="A56" s="57" t="s">
        <v>167</v>
      </c>
      <c r="B56" s="57"/>
      <c r="C56" s="121">
        <f>(406372.1-11.81)/1000</f>
        <v>406.36028999999996</v>
      </c>
      <c r="D56" s="56">
        <f>D55*D6/1000+45.295</f>
        <v>204.89131600000002</v>
      </c>
      <c r="E56" s="56">
        <f>E55*E6/1000</f>
        <v>1407.1785419999999</v>
      </c>
      <c r="F56" s="56">
        <f>F55*F6/1000</f>
        <v>1214.8968</v>
      </c>
      <c r="G56" s="56">
        <f>G55*G6/1000</f>
        <v>337.45016000000004</v>
      </c>
      <c r="H56" s="56">
        <f>H55*H6/1000+10.393</f>
        <v>578.6893960000001</v>
      </c>
      <c r="I56" s="56">
        <f>I55*I6/1000</f>
        <v>1075.1000470000001</v>
      </c>
      <c r="J56" s="56">
        <f>J55*J6/1000+95.40411-59.41145</f>
        <v>1613.7356495849995</v>
      </c>
      <c r="K56" s="56">
        <f>K55*K6/1000</f>
        <v>951.26162359632099</v>
      </c>
      <c r="L56" s="166">
        <f>-729.13189-K6*K55*'Tab 11 - General'!B23/1000</f>
        <v>-1242.8131667420134</v>
      </c>
      <c r="M56" s="166">
        <f>-K6*K55*'Tab 11 - General'!C23/1000</f>
        <v>-437.58034685430766</v>
      </c>
    </row>
    <row r="57" spans="1:15" x14ac:dyDescent="0.25">
      <c r="A57" s="57" t="s">
        <v>168</v>
      </c>
      <c r="B57" s="57"/>
      <c r="C57" s="121"/>
      <c r="D57" s="121">
        <v>11.478730000000001</v>
      </c>
      <c r="E57" s="121">
        <v>26.648219999999998</v>
      </c>
      <c r="F57" s="121">
        <v>25.1066</v>
      </c>
      <c r="G57" s="121">
        <v>100.10279</v>
      </c>
      <c r="H57" s="121">
        <v>24.995039999999999</v>
      </c>
      <c r="I57" s="121">
        <v>98.239170000000001</v>
      </c>
      <c r="J57" s="121">
        <v>71.546920000000014</v>
      </c>
      <c r="K57" s="121">
        <f>6630.67*4/1000</f>
        <v>26.522680000000001</v>
      </c>
      <c r="L57" s="121"/>
      <c r="M57" s="121"/>
    </row>
    <row r="58" spans="1:15" x14ac:dyDescent="0.25">
      <c r="A58" s="57"/>
      <c r="B58" s="57"/>
      <c r="C58" s="57"/>
      <c r="D58" s="53"/>
      <c r="E58" s="55"/>
      <c r="F58" s="55"/>
      <c r="G58" s="55"/>
      <c r="H58" s="55"/>
      <c r="I58" s="55"/>
      <c r="J58" s="55"/>
      <c r="K58" s="55"/>
      <c r="L58" s="55"/>
      <c r="M58" s="55"/>
    </row>
    <row r="59" spans="1:15" x14ac:dyDescent="0.25">
      <c r="A59" s="57" t="s">
        <v>169</v>
      </c>
      <c r="B59" s="57"/>
      <c r="C59" s="121"/>
      <c r="D59" s="121">
        <f>+D56+D57-D53</f>
        <v>216.37004600000003</v>
      </c>
      <c r="E59" s="121">
        <f t="shared" ref="E59:I59" si="5">+E56+E57-E53</f>
        <v>1430.3317319999999</v>
      </c>
      <c r="F59" s="121">
        <f t="shared" si="5"/>
        <v>1043.60726</v>
      </c>
      <c r="G59" s="121">
        <f t="shared" si="5"/>
        <v>159.55996705239374</v>
      </c>
      <c r="H59" s="121">
        <f t="shared" si="5"/>
        <v>310.55662900729226</v>
      </c>
      <c r="I59" s="121">
        <f t="shared" si="5"/>
        <v>742.85519199251905</v>
      </c>
      <c r="J59" s="121">
        <f>+J56+J57-J53</f>
        <v>1026.8465525717818</v>
      </c>
      <c r="K59" s="121">
        <f>+K56+K57-K53</f>
        <v>69.476941401819204</v>
      </c>
      <c r="L59" s="121"/>
      <c r="M59" s="121"/>
    </row>
    <row r="60" spans="1:15" x14ac:dyDescent="0.25">
      <c r="A60" s="57" t="s">
        <v>170</v>
      </c>
      <c r="B60" s="228">
        <v>403.27328817224173</v>
      </c>
      <c r="C60" s="121">
        <f>B60+C56</f>
        <v>809.63357817224164</v>
      </c>
      <c r="D60" s="121">
        <f>C60+D59</f>
        <v>1026.0036241722416</v>
      </c>
      <c r="E60" s="121">
        <f t="shared" ref="E60:K60" si="6">D60+E59</f>
        <v>2456.3353561722415</v>
      </c>
      <c r="F60" s="121">
        <f t="shared" si="6"/>
        <v>3499.9426161722413</v>
      </c>
      <c r="G60" s="121">
        <f t="shared" si="6"/>
        <v>3659.5025832246351</v>
      </c>
      <c r="H60" s="121">
        <f t="shared" si="6"/>
        <v>3970.0592122319276</v>
      </c>
      <c r="I60" s="121">
        <f t="shared" si="6"/>
        <v>4712.914404224447</v>
      </c>
      <c r="J60" s="121">
        <f t="shared" si="6"/>
        <v>5739.760956796229</v>
      </c>
      <c r="K60" s="121">
        <f t="shared" si="6"/>
        <v>5809.2378981980482</v>
      </c>
      <c r="L60" s="121"/>
      <c r="M60" s="121"/>
      <c r="N60" s="60">
        <f>K60+L56+M56</f>
        <v>4128.8443846017271</v>
      </c>
      <c r="O60" s="171"/>
    </row>
    <row r="63" spans="1:15" x14ac:dyDescent="0.25">
      <c r="A63" s="120" t="s">
        <v>159</v>
      </c>
      <c r="B63" s="120"/>
      <c r="C63" s="120"/>
      <c r="D63" s="54"/>
      <c r="E63" s="54"/>
      <c r="F63" s="54"/>
      <c r="G63" s="54"/>
      <c r="H63" s="54"/>
      <c r="I63" s="54"/>
      <c r="J63" s="54"/>
      <c r="K63" s="54"/>
      <c r="L63" s="54"/>
      <c r="M63" s="54"/>
    </row>
    <row r="64" spans="1:15" x14ac:dyDescent="0.25">
      <c r="A64" s="53"/>
      <c r="B64" s="53"/>
      <c r="C64" s="53"/>
      <c r="D64" s="54"/>
      <c r="E64" s="54"/>
      <c r="F64" s="54"/>
      <c r="G64" s="54"/>
      <c r="H64" s="54"/>
      <c r="I64" s="54"/>
      <c r="J64" s="54"/>
      <c r="K64" s="54"/>
      <c r="L64" s="54"/>
      <c r="M64" s="54"/>
    </row>
    <row r="65" spans="1:15" x14ac:dyDescent="0.25">
      <c r="A65" s="53" t="s">
        <v>161</v>
      </c>
      <c r="B65" s="53"/>
      <c r="C65" s="53"/>
      <c r="D65" s="55">
        <f>'Tab 5 - Capital'!I26</f>
        <v>757.75790980208558</v>
      </c>
      <c r="E65" s="55">
        <f>'Tab 5 - Capital'!J26</f>
        <v>476.16966726312313</v>
      </c>
      <c r="F65" s="55">
        <f>'Tab 5 - Capital'!K26</f>
        <v>-210.70177043906008</v>
      </c>
      <c r="G65" s="55">
        <f>'Tab 5 - Capital'!L26</f>
        <v>-0.18193882696530606</v>
      </c>
      <c r="H65" s="55">
        <f>'Tab 5 - Capital'!M26</f>
        <v>0</v>
      </c>
      <c r="I65" s="55">
        <f>'Tab 5 - Capital'!N26</f>
        <v>417.64492397118266</v>
      </c>
      <c r="J65" s="55">
        <f>'Tab 5 - Capital'!O26</f>
        <v>3687.2652951805526</v>
      </c>
      <c r="K65" s="55">
        <f>'Tab 5 - Capital'!P26</f>
        <v>15076.646062400001</v>
      </c>
      <c r="L65" s="55"/>
      <c r="M65" s="55"/>
    </row>
    <row r="66" spans="1:15" x14ac:dyDescent="0.25">
      <c r="A66" s="53" t="s">
        <v>162</v>
      </c>
      <c r="B66" s="53"/>
      <c r="C66" s="53"/>
      <c r="D66" s="55">
        <f>'Tab 5 - Capital'!I35</f>
        <v>757.75790980208558</v>
      </c>
      <c r="E66" s="55">
        <f>'Tab 5 - Capital'!J35</f>
        <v>476.16966726312313</v>
      </c>
      <c r="F66" s="55">
        <f>'Tab 5 - Capital'!K35</f>
        <v>-210.70177043906008</v>
      </c>
      <c r="G66" s="55">
        <f>'Tab 5 - Capital'!L35</f>
        <v>-0.18193882696530606</v>
      </c>
      <c r="H66" s="55">
        <f>'Tab 5 - Capital'!M35</f>
        <v>0</v>
      </c>
      <c r="I66" s="55">
        <f>'Tab 5 - Capital'!N35</f>
        <v>417.64492397118266</v>
      </c>
      <c r="J66" s="55">
        <f>'Tab 5 - Capital'!O35</f>
        <v>3687.2652951805526</v>
      </c>
      <c r="K66" s="55">
        <f>'Tab 5 - Capital'!P35</f>
        <v>15076.646062400001</v>
      </c>
      <c r="L66" s="55"/>
      <c r="M66" s="55"/>
    </row>
    <row r="67" spans="1:15" x14ac:dyDescent="0.25">
      <c r="A67" s="53"/>
      <c r="B67" s="53"/>
      <c r="C67" s="53"/>
      <c r="D67" s="55"/>
      <c r="E67" s="55"/>
      <c r="F67" s="55"/>
      <c r="G67" s="55"/>
      <c r="H67" s="55"/>
      <c r="I67" s="55"/>
      <c r="J67" s="55"/>
      <c r="K67" s="55"/>
      <c r="L67" s="55"/>
      <c r="M67" s="55"/>
    </row>
    <row r="68" spans="1:15" x14ac:dyDescent="0.25">
      <c r="A68" s="53" t="s">
        <v>163</v>
      </c>
      <c r="B68" s="53"/>
      <c r="C68" s="53"/>
      <c r="D68" s="55">
        <f>'Tab 7 - Nose'!S137</f>
        <v>388.88709986999999</v>
      </c>
      <c r="E68" s="55">
        <f>'Tab 7 - Nose'!T137</f>
        <v>401.11023193</v>
      </c>
      <c r="F68" s="55">
        <f>'Tab 7 - Nose'!U137+5986.139</f>
        <v>6399.8565634900006</v>
      </c>
      <c r="G68" s="55">
        <f>'Tab 7 - Nose'!V137+63.079</f>
        <v>489.80016345500002</v>
      </c>
      <c r="H68" s="55">
        <f>'Tab 7 - Nose'!W137</f>
        <v>440.13349379500005</v>
      </c>
      <c r="I68" s="55">
        <f>'Tab 7 - Nose'!X137</f>
        <v>453.96738343499999</v>
      </c>
      <c r="J68" s="55">
        <f>'Tab 7 - Nose'!Y137</f>
        <v>473.54678380053628</v>
      </c>
      <c r="K68" s="55">
        <f>'Tab 7 - Nose'!Z137</f>
        <v>691.81086561986945</v>
      </c>
      <c r="L68" s="55"/>
      <c r="M68" s="55"/>
    </row>
    <row r="69" spans="1:15" x14ac:dyDescent="0.25">
      <c r="A69" s="53" t="s">
        <v>164</v>
      </c>
      <c r="B69" s="53"/>
      <c r="C69" s="53"/>
      <c r="D69" s="55">
        <f>'Tab 7 - Nose'!S138</f>
        <v>370.18190367</v>
      </c>
      <c r="E69" s="55">
        <f>'Tab 7 - Nose'!T138</f>
        <v>357.85650346999995</v>
      </c>
      <c r="F69" s="55">
        <f>'Tab 7 - Nose'!U138</f>
        <v>345.14368292500001</v>
      </c>
      <c r="G69" s="55">
        <f>'Tab 7 - Nose'!V138</f>
        <v>332.03127312999999</v>
      </c>
      <c r="H69" s="55">
        <f>'Tab 7 - Nose'!W138</f>
        <v>318.50671211500003</v>
      </c>
      <c r="I69" s="55">
        <f>'Tab 7 - Nose'!X138</f>
        <v>304.55705900999999</v>
      </c>
      <c r="J69" s="55">
        <f>'Tab 7 - Nose'!Y138</f>
        <v>304.45117406800006</v>
      </c>
      <c r="K69" s="55">
        <f>'Tab 7 - Nose'!Z138</f>
        <v>894.1972679454808</v>
      </c>
      <c r="L69" s="55"/>
      <c r="M69" s="55"/>
    </row>
    <row r="70" spans="1:15" x14ac:dyDescent="0.25">
      <c r="A70" s="53" t="s">
        <v>165</v>
      </c>
      <c r="B70" s="53"/>
      <c r="C70" s="53"/>
      <c r="D70" s="55">
        <f>'Tab 7 - Nose'!S139</f>
        <v>759.06900354000004</v>
      </c>
      <c r="E70" s="55">
        <f>'Tab 7 - Nose'!T139</f>
        <v>758.96673539999995</v>
      </c>
      <c r="F70" s="55">
        <f>'Tab 7 - Nose'!U139+5986.139</f>
        <v>6745.0002464150002</v>
      </c>
      <c r="G70" s="55">
        <f>'Tab 7 - Nose'!V139+63.079</f>
        <v>821.83143658499989</v>
      </c>
      <c r="H70" s="55">
        <f>'Tab 7 - Nose'!W139</f>
        <v>758.64020591000008</v>
      </c>
      <c r="I70" s="55">
        <f>'Tab 7 - Nose'!X139</f>
        <v>758.52444244499998</v>
      </c>
      <c r="J70" s="55">
        <f>'Tab 7 - Nose'!Y139</f>
        <v>777.99795786853633</v>
      </c>
      <c r="K70" s="55">
        <f>'Tab 7 - Nose'!Z139</f>
        <v>1586.0081335653504</v>
      </c>
      <c r="L70" s="55"/>
      <c r="M70" s="55"/>
    </row>
    <row r="72" spans="1:15" x14ac:dyDescent="0.25">
      <c r="A72" s="57" t="s">
        <v>166</v>
      </c>
      <c r="B72" s="57"/>
      <c r="C72" s="57"/>
      <c r="D72" s="55">
        <v>11325</v>
      </c>
      <c r="E72" s="55">
        <v>11699</v>
      </c>
      <c r="F72" s="55">
        <v>12085</v>
      </c>
      <c r="G72" s="55">
        <v>17425</v>
      </c>
      <c r="H72" s="55">
        <v>18000</v>
      </c>
      <c r="I72" s="55">
        <v>18594</v>
      </c>
      <c r="J72" s="55">
        <v>19208</v>
      </c>
      <c r="K72" s="55">
        <v>19842</v>
      </c>
      <c r="L72" s="55"/>
      <c r="M72" s="55"/>
    </row>
    <row r="73" spans="1:15" x14ac:dyDescent="0.25">
      <c r="A73" s="57" t="s">
        <v>167</v>
      </c>
      <c r="B73" s="57"/>
      <c r="C73" s="121">
        <f>(3885070.84+1088541.96-23982.38)/1000</f>
        <v>4949.6304199999995</v>
      </c>
      <c r="D73" s="56">
        <f>D72*D7/1000+19.887+82.212</f>
        <v>586.79767500000003</v>
      </c>
      <c r="E73" s="56">
        <f>E72*E7/1000+69.491-19.887</f>
        <v>1871.6647550000002</v>
      </c>
      <c r="F73" s="56">
        <f>F72*F7/1000+88.727</f>
        <v>2388.5991799999997</v>
      </c>
      <c r="G73" s="56">
        <f>G72*G7/1000+100.42</f>
        <v>1611.9690499999999</v>
      </c>
      <c r="H73" s="56">
        <f>H72*H7/1000+1.224</f>
        <v>1577.88</v>
      </c>
      <c r="I73" s="56">
        <f>I72*I7/1000+234.568-38.711</f>
        <v>3133.9321280000004</v>
      </c>
      <c r="J73" s="56">
        <f>J72*J7/1000+38.711</f>
        <v>3773.5337279999999</v>
      </c>
      <c r="K73" s="56">
        <f>K72*K7/1000</f>
        <v>2391.6144172239851</v>
      </c>
      <c r="L73" s="166">
        <f>-1718.59437-K7*K72*'Tab 11 - General'!B23/1000</f>
        <v>-3010.0661553009522</v>
      </c>
      <c r="M73" s="166">
        <f>-K7*K72*'Tab 11 - General'!C23/1000</f>
        <v>-1100.1426319230334</v>
      </c>
    </row>
    <row r="74" spans="1:15" x14ac:dyDescent="0.25">
      <c r="A74" s="57" t="s">
        <v>168</v>
      </c>
      <c r="B74" s="57"/>
      <c r="C74" s="121"/>
      <c r="D74" s="121">
        <v>321.524</v>
      </c>
      <c r="E74" s="121">
        <v>628.97699999999998</v>
      </c>
      <c r="F74" s="121">
        <v>505.25400000000002</v>
      </c>
      <c r="G74" s="121">
        <v>593.82600000000002</v>
      </c>
      <c r="H74" s="121">
        <v>3223.2429999999999</v>
      </c>
      <c r="I74" s="121">
        <v>649.16499999999996</v>
      </c>
      <c r="J74" s="121">
        <v>487.48776999999995</v>
      </c>
      <c r="K74" s="121">
        <f>44664.34*4/1000</f>
        <v>178.65735999999998</v>
      </c>
      <c r="L74" s="121"/>
      <c r="M74" s="121"/>
    </row>
    <row r="75" spans="1:15" x14ac:dyDescent="0.25">
      <c r="A75" s="57"/>
      <c r="B75" s="57"/>
      <c r="C75" s="57"/>
      <c r="D75" s="53"/>
      <c r="E75" s="55"/>
      <c r="F75" s="55"/>
      <c r="G75" s="55"/>
      <c r="H75" s="55"/>
      <c r="I75" s="55"/>
      <c r="J75" s="55"/>
      <c r="K75" s="55"/>
      <c r="L75" s="55"/>
      <c r="M75" s="55"/>
    </row>
    <row r="76" spans="1:15" x14ac:dyDescent="0.25">
      <c r="A76" s="57" t="s">
        <v>169</v>
      </c>
      <c r="B76" s="57"/>
      <c r="C76" s="121"/>
      <c r="D76" s="121">
        <f>+D73+D74-D70</f>
        <v>149.25267145999999</v>
      </c>
      <c r="E76" s="121">
        <f t="shared" ref="E76:J76" si="7">+E73+E74-E70</f>
        <v>1741.6750196000003</v>
      </c>
      <c r="F76" s="121">
        <f t="shared" si="7"/>
        <v>-3851.1470664150006</v>
      </c>
      <c r="G76" s="121">
        <f t="shared" si="7"/>
        <v>1383.9636134149998</v>
      </c>
      <c r="H76" s="121">
        <f t="shared" si="7"/>
        <v>4042.4827940899995</v>
      </c>
      <c r="I76" s="121">
        <f t="shared" si="7"/>
        <v>3024.5726855550001</v>
      </c>
      <c r="J76" s="121">
        <f t="shared" si="7"/>
        <v>3483.023540131464</v>
      </c>
      <c r="K76" s="121">
        <f>+K73+K74-K70</f>
        <v>984.26364365863492</v>
      </c>
      <c r="L76" s="121"/>
      <c r="M76" s="121"/>
    </row>
    <row r="77" spans="1:15" x14ac:dyDescent="0.25">
      <c r="A77" s="57" t="s">
        <v>170</v>
      </c>
      <c r="B77" s="228">
        <v>15421.4201770407</v>
      </c>
      <c r="C77" s="121">
        <f>B77+C73</f>
        <v>20371.050597040699</v>
      </c>
      <c r="D77" s="121">
        <f>C77+D76</f>
        <v>20520.303268500698</v>
      </c>
      <c r="E77" s="121">
        <f t="shared" ref="E77:K77" si="8">D77+E76</f>
        <v>22261.978288100698</v>
      </c>
      <c r="F77" s="121">
        <f t="shared" si="8"/>
        <v>18410.831221685698</v>
      </c>
      <c r="G77" s="121">
        <f t="shared" si="8"/>
        <v>19794.794835100696</v>
      </c>
      <c r="H77" s="121">
        <f t="shared" si="8"/>
        <v>23837.277629190696</v>
      </c>
      <c r="I77" s="121">
        <f t="shared" si="8"/>
        <v>26861.850314745694</v>
      </c>
      <c r="J77" s="121">
        <f t="shared" si="8"/>
        <v>30344.873854877158</v>
      </c>
      <c r="K77" s="121">
        <f t="shared" si="8"/>
        <v>31329.137498535794</v>
      </c>
      <c r="L77" s="121"/>
      <c r="M77" s="121"/>
      <c r="N77" s="60">
        <f>K77+L73+M73</f>
        <v>27218.928711311808</v>
      </c>
      <c r="O77" s="171"/>
    </row>
    <row r="80" spans="1:15" x14ac:dyDescent="0.25">
      <c r="A80" s="120" t="s">
        <v>28</v>
      </c>
      <c r="B80" s="120"/>
      <c r="C80" s="120"/>
      <c r="D80" s="54"/>
      <c r="E80" s="54"/>
      <c r="F80" s="54"/>
      <c r="G80" s="54"/>
      <c r="H80" s="54"/>
      <c r="I80" s="54"/>
      <c r="J80" s="54"/>
      <c r="K80" s="54"/>
      <c r="L80" s="54"/>
      <c r="M80" s="54"/>
    </row>
    <row r="81" spans="1:16" x14ac:dyDescent="0.25">
      <c r="A81" s="53"/>
      <c r="B81" s="53"/>
      <c r="C81" s="53"/>
      <c r="D81" s="54"/>
      <c r="E81" s="54"/>
      <c r="F81" s="54"/>
      <c r="G81" s="54"/>
      <c r="H81" s="54"/>
      <c r="I81" s="54"/>
      <c r="J81" s="54"/>
      <c r="K81" s="54"/>
      <c r="L81" s="54"/>
      <c r="M81" s="54"/>
    </row>
    <row r="82" spans="1:16" x14ac:dyDescent="0.25">
      <c r="A82" s="53" t="s">
        <v>161</v>
      </c>
      <c r="B82" s="53"/>
      <c r="C82" s="53"/>
      <c r="D82" s="55">
        <f>'Tab 5 - Capital'!I28</f>
        <v>0</v>
      </c>
      <c r="E82" s="55">
        <f>'Tab 5 - Capital'!J28</f>
        <v>0</v>
      </c>
      <c r="F82" s="55">
        <f>'Tab 5 - Capital'!K28</f>
        <v>799</v>
      </c>
      <c r="G82" s="55">
        <f>'Tab 5 - Capital'!L28</f>
        <v>0</v>
      </c>
      <c r="H82" s="55">
        <f>'Tab 5 - Capital'!M28</f>
        <v>0</v>
      </c>
      <c r="I82" s="55">
        <f>'Tab 5 - Capital'!N28</f>
        <v>0</v>
      </c>
      <c r="J82" s="55">
        <f>'Tab 5 - Capital'!O28</f>
        <v>0</v>
      </c>
      <c r="K82" s="55">
        <f>'Tab 5 - Capital'!P28</f>
        <v>731.64</v>
      </c>
      <c r="L82" s="55"/>
      <c r="M82" s="55"/>
    </row>
    <row r="83" spans="1:16" x14ac:dyDescent="0.25">
      <c r="A83" s="53" t="s">
        <v>162</v>
      </c>
      <c r="B83" s="53"/>
      <c r="C83" s="53"/>
      <c r="D83" s="55">
        <f>'Tab 5 - Capital'!I37</f>
        <v>0</v>
      </c>
      <c r="E83" s="55">
        <f>'Tab 5 - Capital'!J37</f>
        <v>0</v>
      </c>
      <c r="F83" s="55">
        <f>'Tab 5 - Capital'!K37</f>
        <v>799</v>
      </c>
      <c r="G83" s="55">
        <f>'Tab 5 - Capital'!L37</f>
        <v>0</v>
      </c>
      <c r="H83" s="55">
        <f>'Tab 5 - Capital'!M37</f>
        <v>0</v>
      </c>
      <c r="I83" s="55">
        <f>'Tab 5 - Capital'!N37</f>
        <v>0</v>
      </c>
      <c r="J83" s="55">
        <f>'Tab 5 - Capital'!O37</f>
        <v>0</v>
      </c>
      <c r="K83" s="55">
        <f>'Tab 5 - Capital'!P37</f>
        <v>367.64</v>
      </c>
      <c r="L83" s="55"/>
      <c r="M83" s="55"/>
    </row>
    <row r="84" spans="1:16" x14ac:dyDescent="0.25">
      <c r="A84" s="53"/>
      <c r="B84" s="53"/>
      <c r="C84" s="53"/>
      <c r="D84" s="55"/>
      <c r="E84" s="55"/>
      <c r="F84" s="55"/>
      <c r="G84" s="55"/>
      <c r="H84" s="55"/>
      <c r="I84" s="55"/>
      <c r="J84" s="55"/>
      <c r="K84" s="55"/>
      <c r="L84" s="55"/>
      <c r="M84" s="55"/>
    </row>
    <row r="85" spans="1:16" x14ac:dyDescent="0.25">
      <c r="A85" s="53" t="s">
        <v>163</v>
      </c>
      <c r="B85" s="53"/>
      <c r="C85" s="53"/>
      <c r="D85" s="55">
        <f>'Tab 8 - Shepard'!S137</f>
        <v>4341.5894770407849</v>
      </c>
      <c r="E85" s="55">
        <f>'Tab 8 - Shepard'!T137</f>
        <v>4497.0379825563232</v>
      </c>
      <c r="F85" s="55">
        <f>'Tab 8 - Shepard'!U137</f>
        <v>4658.831411320507</v>
      </c>
      <c r="G85" s="55">
        <f>'Tab 8 - Shepard'!V137</f>
        <v>4827.2849648632036</v>
      </c>
      <c r="H85" s="55">
        <f>'Tab 8 - Shepard'!W137</f>
        <v>5002.6615137699118</v>
      </c>
      <c r="I85" s="55">
        <f>'Tab 8 - Shepard'!X137</f>
        <v>4972.0251944367992</v>
      </c>
      <c r="J85" s="55">
        <f>'Tab 8 - Shepard'!Y137</f>
        <v>4217.9454687822345</v>
      </c>
      <c r="K85" s="55">
        <f>'Tab 8 - Shepard'!Z137</f>
        <v>3410.3525918169257</v>
      </c>
      <c r="L85" s="55"/>
      <c r="M85" s="55"/>
    </row>
    <row r="86" spans="1:16" x14ac:dyDescent="0.25">
      <c r="A86" s="53" t="s">
        <v>164</v>
      </c>
      <c r="B86" s="53"/>
      <c r="C86" s="53"/>
      <c r="D86" s="55">
        <f>'Tab 8 - Shepard'!S138</f>
        <v>1681.4353255754918</v>
      </c>
      <c r="E86" s="55">
        <f>'Tab 8 - Shepard'!T138</f>
        <v>1525.4306390935453</v>
      </c>
      <c r="F86" s="55">
        <f>'Tab 8 - Shepard'!U138</f>
        <v>1363.0482721531785</v>
      </c>
      <c r="G86" s="55">
        <f>'Tab 8 - Shepard'!V138</f>
        <v>1193.9954510234372</v>
      </c>
      <c r="H86" s="55">
        <f>'Tab 8 - Shepard'!W138</f>
        <v>1017.9845311617244</v>
      </c>
      <c r="I86" s="55">
        <f>'Tab 8 - Shepard'!X138</f>
        <v>835.1607882503065</v>
      </c>
      <c r="J86" s="55">
        <f>'Tab 8 - Shepard'!Y138</f>
        <v>662.0676734220599</v>
      </c>
      <c r="K86" s="55">
        <f>'Tab 8 - Shepard'!Z138</f>
        <v>613.42903264168649</v>
      </c>
      <c r="L86" s="55"/>
      <c r="M86" s="55"/>
    </row>
    <row r="87" spans="1:16" x14ac:dyDescent="0.25">
      <c r="A87" s="53" t="s">
        <v>165</v>
      </c>
      <c r="B87" s="53"/>
      <c r="C87" s="53"/>
      <c r="D87" s="55">
        <f>'Tab 8 - Shepard'!S139</f>
        <v>6023.0248026162772</v>
      </c>
      <c r="E87" s="55">
        <f>'Tab 8 - Shepard'!T139+3.549</f>
        <v>6026.0176216498685</v>
      </c>
      <c r="F87" s="55">
        <f>'Tab 8 - Shepard'!U139+800.454</f>
        <v>6822.3336834736856</v>
      </c>
      <c r="G87" s="55">
        <f>'Tab 8 - Shepard'!V139</f>
        <v>6021.2804158866411</v>
      </c>
      <c r="H87" s="55">
        <f>'Tab 8 - Shepard'!W139</f>
        <v>6020.6460449316364</v>
      </c>
      <c r="I87" s="55">
        <f>'Tab 8 - Shepard'!X139</f>
        <v>5807.1859826871059</v>
      </c>
      <c r="J87" s="55">
        <f>'Tab 8 - Shepard'!Y139</f>
        <v>4880.0131422042941</v>
      </c>
      <c r="K87" s="55">
        <f>'Tab 8 - Shepard'!Z139</f>
        <v>4023.781624458612</v>
      </c>
      <c r="L87" s="55"/>
      <c r="M87" s="55"/>
    </row>
    <row r="89" spans="1:16" x14ac:dyDescent="0.25">
      <c r="A89" s="57" t="s">
        <v>166</v>
      </c>
      <c r="B89" s="57"/>
      <c r="C89" s="57"/>
      <c r="D89" s="55">
        <v>42704</v>
      </c>
      <c r="E89" s="55">
        <v>44113</v>
      </c>
      <c r="F89" s="55">
        <v>45569</v>
      </c>
      <c r="G89" s="55">
        <v>45566</v>
      </c>
      <c r="H89" s="55">
        <v>47070</v>
      </c>
      <c r="I89" s="55">
        <v>48623</v>
      </c>
      <c r="J89" s="55">
        <v>50228</v>
      </c>
      <c r="K89" s="55">
        <f>J89*1.033</f>
        <v>51885.523999999998</v>
      </c>
      <c r="L89" s="55"/>
      <c r="M89" s="55"/>
    </row>
    <row r="90" spans="1:16" x14ac:dyDescent="0.25">
      <c r="A90" s="57" t="s">
        <v>167</v>
      </c>
      <c r="B90" s="57"/>
      <c r="C90" s="121">
        <f>(4572966.09+2643350.94+382378.71+73239.45)/1000</f>
        <v>7671.9351899999992</v>
      </c>
      <c r="D90" s="56">
        <f>D89*D8/1000</f>
        <v>648.97268799999995</v>
      </c>
      <c r="E90" s="56">
        <f>E89*E8/1000</f>
        <v>845.69032299999992</v>
      </c>
      <c r="F90" s="56">
        <f>F89*F8/1000+131.102</f>
        <v>1170.2119069999999</v>
      </c>
      <c r="G90" s="56">
        <f>G89*G8/1000+95.096</f>
        <v>243.18549999999999</v>
      </c>
      <c r="H90" s="56">
        <f>H89*H8/1000+86.408</f>
        <v>1882.6462700000004</v>
      </c>
      <c r="I90" s="56">
        <f>I89*I8/1000</f>
        <v>2616.2091380000002</v>
      </c>
      <c r="J90" s="56">
        <f>J89*J8/1000</f>
        <v>3269.3405200000002</v>
      </c>
      <c r="K90" s="56">
        <f>K89*K8/1000</f>
        <v>1834.8420062195153</v>
      </c>
      <c r="L90" s="166">
        <f>-1581.79484-K8*K89*'Tab 11 - General'!B23/1000</f>
        <v>-2572.6095233585384</v>
      </c>
      <c r="M90" s="166">
        <f>-K8*K89*'Tab 11 - General'!C23/1000</f>
        <v>-844.02732286097716</v>
      </c>
    </row>
    <row r="91" spans="1:16" x14ac:dyDescent="0.25">
      <c r="A91" s="57" t="s">
        <v>168</v>
      </c>
      <c r="B91" s="57"/>
      <c r="C91" s="121"/>
      <c r="D91" s="121">
        <v>182.98099999999999</v>
      </c>
      <c r="E91" s="121">
        <v>470.834</v>
      </c>
      <c r="F91" s="121">
        <v>113.09</v>
      </c>
      <c r="G91" s="121">
        <v>28.213619999999999</v>
      </c>
      <c r="H91" s="121">
        <v>4123.6679999999997</v>
      </c>
      <c r="I91" s="121">
        <v>1.19</v>
      </c>
      <c r="J91" s="121">
        <v>4.5735100000000006</v>
      </c>
      <c r="K91" s="121">
        <v>0</v>
      </c>
      <c r="L91" s="121"/>
      <c r="M91" s="121"/>
    </row>
    <row r="92" spans="1:16" x14ac:dyDescent="0.25">
      <c r="A92" s="57"/>
      <c r="B92" s="57"/>
      <c r="C92" s="121"/>
      <c r="D92" s="53"/>
      <c r="E92" s="55"/>
      <c r="F92" s="55"/>
      <c r="G92" s="55"/>
      <c r="H92" s="55"/>
      <c r="I92" s="55"/>
      <c r="J92" s="55"/>
      <c r="K92" s="55"/>
      <c r="L92" s="55"/>
      <c r="M92" s="55"/>
    </row>
    <row r="93" spans="1:16" x14ac:dyDescent="0.25">
      <c r="A93" s="57" t="s">
        <v>169</v>
      </c>
      <c r="B93" s="57"/>
      <c r="C93" s="121"/>
      <c r="D93" s="121">
        <f>+D90+D91-D87</f>
        <v>-5191.0711146162776</v>
      </c>
      <c r="E93" s="121">
        <f t="shared" ref="E93:J93" si="9">+E90+E91-E87</f>
        <v>-4709.4932986498688</v>
      </c>
      <c r="F93" s="121">
        <f t="shared" si="9"/>
        <v>-5539.0317764736856</v>
      </c>
      <c r="G93" s="121">
        <f t="shared" si="9"/>
        <v>-5749.8812958866411</v>
      </c>
      <c r="H93" s="121">
        <f t="shared" si="9"/>
        <v>-14.331774931636573</v>
      </c>
      <c r="I93" s="121">
        <f t="shared" si="9"/>
        <v>-3189.7868446871057</v>
      </c>
      <c r="J93" s="121">
        <f t="shared" si="9"/>
        <v>-1606.0991122042938</v>
      </c>
      <c r="K93" s="121">
        <f>+K90+K91-K87</f>
        <v>-2188.9396182390965</v>
      </c>
      <c r="L93" s="121"/>
      <c r="M93" s="121"/>
    </row>
    <row r="94" spans="1:16" x14ac:dyDescent="0.25">
      <c r="A94" s="57" t="s">
        <v>170</v>
      </c>
      <c r="B94" s="228">
        <v>9651.2701833280353</v>
      </c>
      <c r="C94" s="121">
        <f>B94+C90</f>
        <v>17323.205373328034</v>
      </c>
      <c r="D94" s="121">
        <f>C94+D93</f>
        <v>12132.134258711756</v>
      </c>
      <c r="E94" s="121">
        <f t="shared" ref="E94:K94" si="10">D94+E93</f>
        <v>7422.6409600618872</v>
      </c>
      <c r="F94" s="121">
        <f t="shared" si="10"/>
        <v>1883.6091835882016</v>
      </c>
      <c r="G94" s="121">
        <f t="shared" si="10"/>
        <v>-3866.2721122984394</v>
      </c>
      <c r="H94" s="121">
        <f t="shared" si="10"/>
        <v>-3880.603887230076</v>
      </c>
      <c r="I94" s="121">
        <f t="shared" si="10"/>
        <v>-7070.3907319171813</v>
      </c>
      <c r="J94" s="121">
        <f t="shared" si="10"/>
        <v>-8676.4898441214755</v>
      </c>
      <c r="K94" s="121">
        <f t="shared" si="10"/>
        <v>-10865.429462360571</v>
      </c>
      <c r="L94" s="121"/>
      <c r="M94" s="121"/>
      <c r="N94" s="60">
        <f>K94+L90+M90</f>
        <v>-14282.066308580086</v>
      </c>
      <c r="O94" s="171"/>
      <c r="P94" s="171"/>
    </row>
    <row r="95" spans="1:16" x14ac:dyDescent="0.25">
      <c r="M95" s="60"/>
    </row>
    <row r="97" spans="1:15" x14ac:dyDescent="0.25">
      <c r="A97" s="120" t="s">
        <v>156</v>
      </c>
      <c r="B97" s="120"/>
      <c r="C97" s="120"/>
      <c r="D97" s="54"/>
      <c r="E97" s="54"/>
      <c r="F97" s="54"/>
      <c r="G97" s="54"/>
      <c r="H97" s="54"/>
      <c r="I97" s="54"/>
      <c r="J97" s="54"/>
      <c r="K97" s="54"/>
      <c r="L97" s="54"/>
      <c r="M97" s="54"/>
    </row>
    <row r="98" spans="1:15" x14ac:dyDescent="0.25">
      <c r="A98" s="53"/>
      <c r="B98" s="53"/>
      <c r="C98" s="53"/>
      <c r="D98" s="54"/>
      <c r="E98" s="54"/>
      <c r="F98" s="54"/>
      <c r="G98" s="54"/>
      <c r="H98" s="54"/>
      <c r="I98" s="54"/>
      <c r="J98" s="54"/>
      <c r="K98" s="54"/>
      <c r="L98" s="54"/>
      <c r="M98" s="54"/>
    </row>
    <row r="99" spans="1:15" x14ac:dyDescent="0.25">
      <c r="A99" s="53" t="s">
        <v>171</v>
      </c>
      <c r="B99" s="53"/>
      <c r="C99" s="121">
        <f>(326.68+23191.03+6802.92)/1000</f>
        <v>30.320629999999998</v>
      </c>
      <c r="D99" s="54"/>
      <c r="E99" s="54"/>
      <c r="F99" s="54"/>
      <c r="G99" s="54"/>
      <c r="H99" s="54"/>
      <c r="I99" s="54"/>
      <c r="J99" s="54"/>
      <c r="K99" s="54"/>
    </row>
    <row r="100" spans="1:15" x14ac:dyDescent="0.25">
      <c r="A100" s="53"/>
      <c r="B100" s="53"/>
      <c r="C100" s="53"/>
      <c r="D100" s="54"/>
      <c r="E100" s="54"/>
      <c r="F100" s="54"/>
      <c r="G100" s="54"/>
      <c r="H100" s="54"/>
      <c r="I100" s="54"/>
      <c r="J100" s="54"/>
      <c r="K100" s="54"/>
    </row>
    <row r="101" spans="1:15" x14ac:dyDescent="0.25">
      <c r="A101" s="57" t="s">
        <v>172</v>
      </c>
      <c r="B101" s="57"/>
      <c r="C101" s="57"/>
      <c r="D101" s="121">
        <v>34.308</v>
      </c>
      <c r="E101" s="121">
        <v>57.16</v>
      </c>
      <c r="F101" s="121">
        <v>50.102960000000003</v>
      </c>
      <c r="G101" s="121">
        <v>68.297129999999996</v>
      </c>
      <c r="H101" s="121">
        <v>805.97742000000005</v>
      </c>
      <c r="I101" s="121">
        <v>82.08466</v>
      </c>
      <c r="J101" s="121">
        <v>56.914990000000003</v>
      </c>
      <c r="K101" s="121">
        <f>5226.05*4/1000</f>
        <v>20.904199999999999</v>
      </c>
      <c r="L101" s="121"/>
      <c r="M101" s="121"/>
    </row>
    <row r="102" spans="1:15" x14ac:dyDescent="0.25">
      <c r="A102" s="57" t="s">
        <v>170</v>
      </c>
      <c r="B102" s="228">
        <v>1754.8558860493629</v>
      </c>
      <c r="C102" s="121">
        <f>B102+C99</f>
        <v>1785.1765160493628</v>
      </c>
      <c r="D102" s="121">
        <f>C102+D101</f>
        <v>1819.4845160493628</v>
      </c>
      <c r="E102" s="121">
        <f>D102+E101</f>
        <v>1876.6445160493629</v>
      </c>
      <c r="F102" s="121">
        <f t="shared" ref="F102:I102" si="11">E102+F101</f>
        <v>1926.7474760493628</v>
      </c>
      <c r="G102" s="121">
        <f t="shared" si="11"/>
        <v>1995.0446060493628</v>
      </c>
      <c r="H102" s="121">
        <f t="shared" si="11"/>
        <v>2801.0220260493629</v>
      </c>
      <c r="I102" s="121">
        <f t="shared" si="11"/>
        <v>2883.1066860493629</v>
      </c>
      <c r="J102" s="121">
        <f>I102+J101</f>
        <v>2940.0216760493631</v>
      </c>
      <c r="K102" s="121">
        <f>J102+K101</f>
        <v>2960.9258760493631</v>
      </c>
      <c r="L102" s="121"/>
      <c r="M102" s="121"/>
      <c r="N102" s="60">
        <f>K102+L99+M99</f>
        <v>2960.9258760493631</v>
      </c>
      <c r="O102" s="171"/>
    </row>
    <row r="103" spans="1:15" x14ac:dyDescent="0.25">
      <c r="B103" s="228"/>
    </row>
    <row r="106" spans="1:15" ht="13.8" thickBot="1" x14ac:dyDescent="0.3">
      <c r="A106" s="120" t="s">
        <v>173</v>
      </c>
      <c r="B106" s="60"/>
      <c r="C106" s="60"/>
      <c r="D106" s="60"/>
      <c r="E106" s="60"/>
      <c r="F106" s="60"/>
      <c r="G106" s="60"/>
      <c r="H106" s="60"/>
      <c r="I106" s="60"/>
      <c r="J106" s="60"/>
      <c r="K106" s="60"/>
      <c r="L106" s="60"/>
      <c r="M106" s="60"/>
      <c r="N106" s="229">
        <f>N26+N43+N60+N77+N94+N102</f>
        <v>32541.351311922772</v>
      </c>
    </row>
    <row r="107" spans="1:15" ht="13.8" thickTop="1" x14ac:dyDescent="0.25"/>
    <row r="108" spans="1:15" x14ac:dyDescent="0.25">
      <c r="J108" s="60"/>
      <c r="K108" s="60"/>
    </row>
  </sheetData>
  <pageMargins left="0.7" right="0.7" top="0.75" bottom="0.75" header="0.3" footer="0.3"/>
  <pageSetup scale="37"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1D5A-C736-401F-B0B3-F160204D915A}">
  <dimension ref="A1:BJ47"/>
  <sheetViews>
    <sheetView showGridLines="0" zoomScale="75" zoomScaleNormal="75" workbookViewId="0">
      <pane xSplit="2" ySplit="5" topLeftCell="C6" activePane="bottomRight" state="frozen"/>
      <selection pane="topRight" activeCell="F31" sqref="F31"/>
      <selection pane="bottomLeft" activeCell="F31" sqref="F31"/>
      <selection pane="bottomRight"/>
    </sheetView>
  </sheetViews>
  <sheetFormatPr defaultColWidth="9.44140625" defaultRowHeight="15" customHeight="1" outlineLevelCol="1" x14ac:dyDescent="0.25"/>
  <cols>
    <col min="1" max="1" width="46.44140625" style="150" bestFit="1" customWidth="1"/>
    <col min="2" max="2" width="33.77734375" style="150" bestFit="1" customWidth="1"/>
    <col min="3" max="3" width="10.21875" style="150" bestFit="1" customWidth="1"/>
    <col min="4" max="4" width="7.44140625" style="158" hidden="1" customWidth="1" outlineLevel="1"/>
    <col min="5" max="7" width="12.77734375" style="158" hidden="1" customWidth="1" outlineLevel="1"/>
    <col min="8" max="8" width="12.77734375" style="158" customWidth="1" collapsed="1"/>
    <col min="9" max="9" width="12.77734375" style="158" customWidth="1" outlineLevel="1"/>
    <col min="10" max="29" width="12.77734375" style="157" customWidth="1" outlineLevel="1"/>
    <col min="30" max="30" width="15.44140625" style="157" customWidth="1"/>
    <col min="31" max="53" width="12.77734375" style="157" customWidth="1"/>
    <col min="54" max="16384" width="9.44140625" style="150"/>
  </cols>
  <sheetData>
    <row r="1" spans="1:62" s="138" customFormat="1" ht="15" customHeight="1" x14ac:dyDescent="0.3">
      <c r="A1" s="135" t="s">
        <v>174</v>
      </c>
      <c r="B1" s="136"/>
      <c r="C1" s="136"/>
      <c r="D1" s="136"/>
      <c r="E1" s="136"/>
      <c r="F1" s="136"/>
      <c r="G1" s="136"/>
      <c r="H1" s="136"/>
      <c r="I1" s="136"/>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row>
    <row r="2" spans="1:62" s="138" customFormat="1" ht="15" customHeight="1" x14ac:dyDescent="0.3">
      <c r="A2" s="139" t="s">
        <v>175</v>
      </c>
      <c r="D2" s="140"/>
      <c r="F2" s="141"/>
      <c r="G2" s="142"/>
      <c r="J2" s="143"/>
      <c r="K2" s="143"/>
      <c r="L2" s="143"/>
      <c r="M2" s="143"/>
      <c r="N2" s="143"/>
      <c r="O2" s="143"/>
      <c r="P2" s="143"/>
      <c r="Q2" s="143"/>
      <c r="R2" s="143"/>
      <c r="S2" s="143"/>
      <c r="T2" s="143"/>
      <c r="U2" s="143"/>
      <c r="V2" s="143"/>
      <c r="W2" s="143"/>
      <c r="X2" s="143"/>
      <c r="Y2" s="143"/>
      <c r="Z2" s="143"/>
      <c r="AA2" s="143"/>
      <c r="AB2" s="143"/>
      <c r="AC2" s="143"/>
      <c r="AD2" s="143"/>
      <c r="AE2" s="143"/>
      <c r="AF2" s="144"/>
      <c r="AG2" s="144"/>
      <c r="AH2" s="144"/>
      <c r="AI2" s="144"/>
      <c r="AJ2" s="144"/>
      <c r="AK2" s="144"/>
      <c r="AL2" s="144"/>
      <c r="AM2" s="144"/>
      <c r="AN2" s="144"/>
      <c r="AO2" s="143"/>
      <c r="AP2" s="143"/>
      <c r="AQ2" s="143"/>
      <c r="AR2" s="143"/>
      <c r="AS2" s="143"/>
      <c r="AT2" s="143"/>
      <c r="AU2" s="143"/>
      <c r="AV2" s="143"/>
      <c r="AW2" s="143"/>
      <c r="AX2" s="143"/>
      <c r="AY2" s="143"/>
      <c r="AZ2" s="143"/>
      <c r="BA2" s="143"/>
    </row>
    <row r="3" spans="1:62" s="138" customFormat="1" ht="15" customHeight="1" x14ac:dyDescent="0.25">
      <c r="A3" s="145" t="s">
        <v>176</v>
      </c>
      <c r="J3" s="260"/>
      <c r="K3" s="260"/>
      <c r="L3" s="260"/>
      <c r="M3" s="260"/>
      <c r="N3" s="260"/>
      <c r="O3" s="260"/>
      <c r="P3" s="260"/>
      <c r="Q3" s="260"/>
      <c r="R3" s="260"/>
      <c r="S3" s="146"/>
      <c r="T3" s="146"/>
      <c r="U3" s="146"/>
      <c r="V3" s="146"/>
      <c r="W3" s="146"/>
      <c r="X3" s="146"/>
      <c r="Y3" s="146"/>
      <c r="Z3" s="146"/>
      <c r="AA3" s="146"/>
      <c r="AB3" s="146"/>
      <c r="AC3" s="146"/>
      <c r="AD3" s="146"/>
      <c r="AE3" s="146"/>
      <c r="AF3" s="260"/>
      <c r="AG3" s="260"/>
      <c r="AH3" s="260"/>
      <c r="AI3" s="260"/>
      <c r="AJ3" s="260"/>
      <c r="AK3" s="260"/>
      <c r="AL3" s="260"/>
      <c r="AM3" s="260"/>
      <c r="AN3" s="260"/>
      <c r="AO3" s="146"/>
      <c r="AP3" s="146"/>
      <c r="AQ3" s="146"/>
      <c r="AR3" s="146"/>
      <c r="AS3" s="146"/>
      <c r="AT3" s="146"/>
      <c r="AU3" s="146"/>
      <c r="AV3" s="146"/>
      <c r="AW3" s="146"/>
      <c r="AX3" s="146"/>
      <c r="AY3" s="146"/>
      <c r="AZ3" s="146"/>
      <c r="BA3" s="146"/>
    </row>
    <row r="4" spans="1:62" s="147" customFormat="1" ht="30" customHeight="1" x14ac:dyDescent="0.25">
      <c r="A4" s="254" t="s">
        <v>177</v>
      </c>
      <c r="B4" s="254" t="s">
        <v>178</v>
      </c>
      <c r="C4" s="254" t="s">
        <v>13</v>
      </c>
      <c r="D4" s="257" t="s">
        <v>179</v>
      </c>
      <c r="E4" s="258"/>
      <c r="F4" s="258"/>
      <c r="G4" s="258"/>
      <c r="H4" s="259"/>
      <c r="I4" s="261" t="s">
        <v>180</v>
      </c>
      <c r="J4" s="262"/>
      <c r="K4" s="262"/>
      <c r="L4" s="262"/>
      <c r="M4" s="262"/>
      <c r="N4" s="262"/>
      <c r="O4" s="262"/>
      <c r="P4" s="262"/>
      <c r="Q4" s="262"/>
      <c r="R4" s="262"/>
      <c r="S4" s="262"/>
      <c r="T4" s="262"/>
      <c r="U4" s="262"/>
      <c r="V4" s="262"/>
      <c r="W4" s="262"/>
      <c r="X4" s="262"/>
      <c r="Y4" s="262"/>
      <c r="Z4" s="262"/>
      <c r="AA4" s="262"/>
      <c r="AB4" s="262"/>
      <c r="AC4" s="262"/>
      <c r="AD4" s="263"/>
      <c r="AE4" s="261" t="s">
        <v>181</v>
      </c>
      <c r="AF4" s="262"/>
      <c r="AG4" s="262"/>
      <c r="AH4" s="262"/>
      <c r="AI4" s="262"/>
      <c r="AJ4" s="262"/>
      <c r="AK4" s="262"/>
      <c r="AL4" s="262"/>
      <c r="AM4" s="262"/>
      <c r="AN4" s="262"/>
      <c r="AO4" s="262"/>
      <c r="AP4" s="262"/>
      <c r="AQ4" s="262"/>
      <c r="AR4" s="262"/>
      <c r="AS4" s="262"/>
      <c r="AT4" s="262"/>
      <c r="AU4" s="262"/>
      <c r="AV4" s="262"/>
      <c r="AW4" s="262"/>
      <c r="AX4" s="262"/>
      <c r="AY4" s="262"/>
      <c r="AZ4" s="263"/>
    </row>
    <row r="5" spans="1:62" s="149" customFormat="1" ht="30" customHeight="1" x14ac:dyDescent="0.25">
      <c r="A5" s="255"/>
      <c r="B5" s="256"/>
      <c r="C5" s="256"/>
      <c r="D5" s="148" t="s">
        <v>182</v>
      </c>
      <c r="E5" s="148" t="s">
        <v>183</v>
      </c>
      <c r="F5" s="148" t="s">
        <v>184</v>
      </c>
      <c r="G5" s="148" t="s">
        <v>185</v>
      </c>
      <c r="H5" s="148" t="s">
        <v>186</v>
      </c>
      <c r="I5" s="12">
        <v>2016</v>
      </c>
      <c r="J5" s="12">
        <v>2017</v>
      </c>
      <c r="K5" s="12">
        <v>2018</v>
      </c>
      <c r="L5" s="12">
        <v>2019</v>
      </c>
      <c r="M5" s="12">
        <v>2020</v>
      </c>
      <c r="N5" s="12">
        <v>2021</v>
      </c>
      <c r="O5" s="12">
        <v>2022</v>
      </c>
      <c r="P5" s="12">
        <v>2023</v>
      </c>
      <c r="Q5" s="12">
        <v>2024</v>
      </c>
      <c r="R5" s="12">
        <v>2025</v>
      </c>
      <c r="S5" s="12">
        <v>2026</v>
      </c>
      <c r="T5" s="12">
        <v>2027</v>
      </c>
      <c r="U5" s="12">
        <v>2028</v>
      </c>
      <c r="V5" s="12">
        <v>2029</v>
      </c>
      <c r="W5" s="12">
        <v>2030</v>
      </c>
      <c r="X5" s="12">
        <v>2031</v>
      </c>
      <c r="Y5" s="12">
        <v>2032</v>
      </c>
      <c r="Z5" s="12">
        <v>2033</v>
      </c>
      <c r="AA5" s="12">
        <v>2034</v>
      </c>
      <c r="AB5" s="12">
        <v>2035</v>
      </c>
      <c r="AC5" s="12">
        <v>2036</v>
      </c>
      <c r="AD5" s="12" t="s">
        <v>187</v>
      </c>
      <c r="AE5" s="12">
        <v>2016</v>
      </c>
      <c r="AF5" s="12">
        <v>2017</v>
      </c>
      <c r="AG5" s="12">
        <v>2018</v>
      </c>
      <c r="AH5" s="12">
        <v>2019</v>
      </c>
      <c r="AI5" s="12">
        <v>2020</v>
      </c>
      <c r="AJ5" s="12">
        <v>2021</v>
      </c>
      <c r="AK5" s="12">
        <v>2022</v>
      </c>
      <c r="AL5" s="12">
        <v>2023</v>
      </c>
      <c r="AM5" s="12">
        <v>2024</v>
      </c>
      <c r="AN5" s="12">
        <v>2025</v>
      </c>
      <c r="AO5" s="12">
        <v>2026</v>
      </c>
      <c r="AP5" s="12">
        <v>2027</v>
      </c>
      <c r="AQ5" s="12">
        <v>2028</v>
      </c>
      <c r="AR5" s="12">
        <v>2029</v>
      </c>
      <c r="AS5" s="12">
        <v>2030</v>
      </c>
      <c r="AT5" s="12">
        <v>2031</v>
      </c>
      <c r="AU5" s="12">
        <v>2032</v>
      </c>
      <c r="AV5" s="12">
        <v>2033</v>
      </c>
      <c r="AW5" s="12">
        <v>2034</v>
      </c>
      <c r="AX5" s="12">
        <v>2035</v>
      </c>
      <c r="AY5" s="12">
        <v>2036</v>
      </c>
      <c r="AZ5" s="12" t="s">
        <v>187</v>
      </c>
    </row>
    <row r="6" spans="1:62" ht="15" customHeight="1" x14ac:dyDescent="0.25">
      <c r="A6" s="68" t="s">
        <v>188</v>
      </c>
      <c r="B6" s="69"/>
      <c r="C6" s="69"/>
      <c r="D6" s="151"/>
      <c r="E6" s="151"/>
      <c r="F6" s="151"/>
      <c r="G6" s="151"/>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70"/>
      <c r="BB6" s="70"/>
      <c r="BC6" s="70"/>
      <c r="BD6" s="70"/>
      <c r="BE6" s="70"/>
      <c r="BF6" s="70"/>
      <c r="BG6" s="70"/>
      <c r="BH6" s="70"/>
      <c r="BI6" s="70"/>
      <c r="BJ6" s="70"/>
    </row>
    <row r="7" spans="1:62" ht="15" customHeight="1" x14ac:dyDescent="0.25">
      <c r="A7" s="117" t="s">
        <v>189</v>
      </c>
      <c r="B7" s="118" t="s">
        <v>190</v>
      </c>
      <c r="C7" s="118" t="s">
        <v>158</v>
      </c>
      <c r="D7" s="15">
        <v>1</v>
      </c>
      <c r="E7" s="14">
        <v>1</v>
      </c>
      <c r="F7" s="15">
        <v>0</v>
      </c>
      <c r="G7" s="15">
        <v>0</v>
      </c>
      <c r="H7" s="67">
        <f t="shared" ref="H7:H20" si="0">SUM(E7:G7)</f>
        <v>1</v>
      </c>
      <c r="I7" s="71">
        <v>16.642683040047984</v>
      </c>
      <c r="J7" s="71">
        <v>4606.322150519135</v>
      </c>
      <c r="K7" s="71">
        <v>184.3099783111704</v>
      </c>
      <c r="L7" s="70">
        <v>138.60817914459943</v>
      </c>
      <c r="M7" s="70">
        <v>1353.2370613884834</v>
      </c>
      <c r="N7" s="70">
        <v>3329.3232616613459</v>
      </c>
      <c r="O7" s="70">
        <v>4946.7202338336529</v>
      </c>
      <c r="P7" s="70">
        <v>1177.9238848</v>
      </c>
      <c r="Q7" s="70">
        <v>0</v>
      </c>
      <c r="R7" s="70">
        <v>0</v>
      </c>
      <c r="S7" s="70">
        <v>0</v>
      </c>
      <c r="T7" s="70"/>
      <c r="U7" s="70"/>
      <c r="V7" s="70"/>
      <c r="W7" s="70"/>
      <c r="X7" s="70"/>
      <c r="Y7" s="70"/>
      <c r="Z7" s="70"/>
      <c r="AA7" s="70"/>
      <c r="AB7" s="70"/>
      <c r="AC7" s="70"/>
      <c r="AD7" s="70">
        <f t="shared" ref="AD7:AD16" si="1">SUM(I7:AC7)</f>
        <v>15753.087432698436</v>
      </c>
      <c r="AE7" s="71">
        <f t="shared" ref="AE7:AY20" si="2">I7*$D7*$E7</f>
        <v>16.642683040047984</v>
      </c>
      <c r="AF7" s="71">
        <f t="shared" si="2"/>
        <v>4606.322150519135</v>
      </c>
      <c r="AG7" s="71">
        <f t="shared" si="2"/>
        <v>184.3099783111704</v>
      </c>
      <c r="AH7" s="71">
        <f t="shared" si="2"/>
        <v>138.60817914459943</v>
      </c>
      <c r="AI7" s="71">
        <f t="shared" si="2"/>
        <v>1353.2370613884834</v>
      </c>
      <c r="AJ7" s="71">
        <f t="shared" si="2"/>
        <v>3329.3232616613459</v>
      </c>
      <c r="AK7" s="71">
        <f t="shared" si="2"/>
        <v>4946.7202338336529</v>
      </c>
      <c r="AL7" s="71">
        <f t="shared" si="2"/>
        <v>1177.9238848</v>
      </c>
      <c r="AM7" s="71">
        <f t="shared" si="2"/>
        <v>0</v>
      </c>
      <c r="AN7" s="71">
        <f t="shared" si="2"/>
        <v>0</v>
      </c>
      <c r="AO7" s="71">
        <f t="shared" si="2"/>
        <v>0</v>
      </c>
      <c r="AP7" s="71">
        <f t="shared" si="2"/>
        <v>0</v>
      </c>
      <c r="AQ7" s="71">
        <f t="shared" si="2"/>
        <v>0</v>
      </c>
      <c r="AR7" s="71">
        <f t="shared" si="2"/>
        <v>0</v>
      </c>
      <c r="AS7" s="71">
        <f t="shared" si="2"/>
        <v>0</v>
      </c>
      <c r="AT7" s="71">
        <f t="shared" si="2"/>
        <v>0</v>
      </c>
      <c r="AU7" s="71">
        <f t="shared" si="2"/>
        <v>0</v>
      </c>
      <c r="AV7" s="71">
        <f t="shared" si="2"/>
        <v>0</v>
      </c>
      <c r="AW7" s="71">
        <f t="shared" si="2"/>
        <v>0</v>
      </c>
      <c r="AX7" s="71">
        <f t="shared" si="2"/>
        <v>0</v>
      </c>
      <c r="AY7" s="71">
        <f t="shared" si="2"/>
        <v>0</v>
      </c>
      <c r="AZ7" s="70">
        <f t="shared" ref="AZ7:AZ16" si="3">SUM(AE7:AY7)</f>
        <v>15753.087432698436</v>
      </c>
      <c r="BA7" s="150"/>
    </row>
    <row r="8" spans="1:62" ht="15" customHeight="1" x14ac:dyDescent="0.25">
      <c r="A8" s="117" t="s">
        <v>191</v>
      </c>
      <c r="B8" s="118" t="s">
        <v>190</v>
      </c>
      <c r="C8" s="118" t="s">
        <v>28</v>
      </c>
      <c r="D8" s="15">
        <v>1</v>
      </c>
      <c r="E8" s="14">
        <v>1</v>
      </c>
      <c r="F8" s="15"/>
      <c r="G8" s="15"/>
      <c r="H8" s="67">
        <f t="shared" si="0"/>
        <v>1</v>
      </c>
      <c r="I8" s="71"/>
      <c r="J8" s="71"/>
      <c r="K8" s="71">
        <v>799</v>
      </c>
      <c r="L8" s="70"/>
      <c r="M8" s="70"/>
      <c r="N8" s="70"/>
      <c r="O8" s="70"/>
      <c r="P8" s="70"/>
      <c r="Q8" s="70"/>
      <c r="R8" s="70"/>
      <c r="S8" s="70"/>
      <c r="T8" s="70"/>
      <c r="U8" s="70"/>
      <c r="V8" s="70"/>
      <c r="W8" s="70"/>
      <c r="X8" s="70"/>
      <c r="Y8" s="70"/>
      <c r="Z8" s="70"/>
      <c r="AA8" s="70"/>
      <c r="AB8" s="70"/>
      <c r="AC8" s="70"/>
      <c r="AD8" s="70">
        <f t="shared" si="1"/>
        <v>799</v>
      </c>
      <c r="AE8" s="71">
        <f t="shared" si="2"/>
        <v>0</v>
      </c>
      <c r="AF8" s="71">
        <f t="shared" si="2"/>
        <v>0</v>
      </c>
      <c r="AG8" s="71">
        <f t="shared" si="2"/>
        <v>799</v>
      </c>
      <c r="AH8" s="71">
        <f t="shared" si="2"/>
        <v>0</v>
      </c>
      <c r="AI8" s="71">
        <f t="shared" si="2"/>
        <v>0</v>
      </c>
      <c r="AJ8" s="71">
        <f t="shared" si="2"/>
        <v>0</v>
      </c>
      <c r="AK8" s="71">
        <f t="shared" si="2"/>
        <v>0</v>
      </c>
      <c r="AL8" s="71">
        <f t="shared" si="2"/>
        <v>0</v>
      </c>
      <c r="AM8" s="71">
        <f t="shared" si="2"/>
        <v>0</v>
      </c>
      <c r="AN8" s="71">
        <f t="shared" si="2"/>
        <v>0</v>
      </c>
      <c r="AO8" s="71">
        <f t="shared" si="2"/>
        <v>0</v>
      </c>
      <c r="AP8" s="71">
        <f t="shared" si="2"/>
        <v>0</v>
      </c>
      <c r="AQ8" s="71">
        <f t="shared" si="2"/>
        <v>0</v>
      </c>
      <c r="AR8" s="71">
        <f t="shared" si="2"/>
        <v>0</v>
      </c>
      <c r="AS8" s="71">
        <f t="shared" si="2"/>
        <v>0</v>
      </c>
      <c r="AT8" s="71">
        <f t="shared" si="2"/>
        <v>0</v>
      </c>
      <c r="AU8" s="71">
        <f t="shared" si="2"/>
        <v>0</v>
      </c>
      <c r="AV8" s="71">
        <f t="shared" si="2"/>
        <v>0</v>
      </c>
      <c r="AW8" s="71">
        <f t="shared" si="2"/>
        <v>0</v>
      </c>
      <c r="AX8" s="71">
        <f t="shared" si="2"/>
        <v>0</v>
      </c>
      <c r="AY8" s="71">
        <f t="shared" si="2"/>
        <v>0</v>
      </c>
      <c r="AZ8" s="70">
        <f t="shared" si="3"/>
        <v>799</v>
      </c>
      <c r="BA8" s="150"/>
    </row>
    <row r="9" spans="1:62" ht="15" customHeight="1" x14ac:dyDescent="0.25">
      <c r="A9" s="117" t="s">
        <v>192</v>
      </c>
      <c r="B9" s="118" t="s">
        <v>190</v>
      </c>
      <c r="C9" s="118" t="s">
        <v>159</v>
      </c>
      <c r="D9" s="15">
        <v>1</v>
      </c>
      <c r="E9" s="14">
        <v>1</v>
      </c>
      <c r="F9" s="15">
        <v>0</v>
      </c>
      <c r="G9" s="15">
        <v>0</v>
      </c>
      <c r="H9" s="67">
        <f t="shared" si="0"/>
        <v>1</v>
      </c>
      <c r="I9" s="71">
        <v>267.48640346724756</v>
      </c>
      <c r="J9" s="71">
        <v>0</v>
      </c>
      <c r="K9" s="71">
        <v>-210.70177043906008</v>
      </c>
      <c r="L9" s="70">
        <v>-0.18193882696530606</v>
      </c>
      <c r="M9" s="70">
        <v>0</v>
      </c>
      <c r="N9" s="70">
        <v>0</v>
      </c>
      <c r="O9" s="70">
        <v>0</v>
      </c>
      <c r="P9" s="70">
        <v>0</v>
      </c>
      <c r="Q9" s="70">
        <v>0</v>
      </c>
      <c r="R9" s="70">
        <v>0</v>
      </c>
      <c r="S9" s="70">
        <v>0</v>
      </c>
      <c r="T9" s="70"/>
      <c r="U9" s="70"/>
      <c r="V9" s="70"/>
      <c r="W9" s="70"/>
      <c r="X9" s="70"/>
      <c r="Y9" s="70"/>
      <c r="Z9" s="70"/>
      <c r="AA9" s="70"/>
      <c r="AB9" s="70"/>
      <c r="AC9" s="70"/>
      <c r="AD9" s="70">
        <f t="shared" si="1"/>
        <v>56.602694201222164</v>
      </c>
      <c r="AE9" s="71">
        <f t="shared" si="2"/>
        <v>267.48640346724756</v>
      </c>
      <c r="AF9" s="71">
        <f t="shared" si="2"/>
        <v>0</v>
      </c>
      <c r="AG9" s="71">
        <f t="shared" si="2"/>
        <v>-210.70177043906008</v>
      </c>
      <c r="AH9" s="71">
        <f t="shared" si="2"/>
        <v>-0.18193882696530606</v>
      </c>
      <c r="AI9" s="71">
        <f t="shared" si="2"/>
        <v>0</v>
      </c>
      <c r="AJ9" s="71">
        <f t="shared" si="2"/>
        <v>0</v>
      </c>
      <c r="AK9" s="71">
        <f t="shared" si="2"/>
        <v>0</v>
      </c>
      <c r="AL9" s="71">
        <f t="shared" si="2"/>
        <v>0</v>
      </c>
      <c r="AM9" s="71">
        <f t="shared" si="2"/>
        <v>0</v>
      </c>
      <c r="AN9" s="71">
        <f t="shared" si="2"/>
        <v>0</v>
      </c>
      <c r="AO9" s="71">
        <f t="shared" si="2"/>
        <v>0</v>
      </c>
      <c r="AP9" s="71">
        <f t="shared" si="2"/>
        <v>0</v>
      </c>
      <c r="AQ9" s="71">
        <f t="shared" si="2"/>
        <v>0</v>
      </c>
      <c r="AR9" s="71">
        <f t="shared" si="2"/>
        <v>0</v>
      </c>
      <c r="AS9" s="71">
        <f t="shared" si="2"/>
        <v>0</v>
      </c>
      <c r="AT9" s="71">
        <f t="shared" si="2"/>
        <v>0</v>
      </c>
      <c r="AU9" s="71">
        <f t="shared" si="2"/>
        <v>0</v>
      </c>
      <c r="AV9" s="71">
        <f t="shared" si="2"/>
        <v>0</v>
      </c>
      <c r="AW9" s="71">
        <f t="shared" si="2"/>
        <v>0</v>
      </c>
      <c r="AX9" s="71">
        <f t="shared" si="2"/>
        <v>0</v>
      </c>
      <c r="AY9" s="71">
        <f t="shared" si="2"/>
        <v>0</v>
      </c>
      <c r="AZ9" s="70">
        <f t="shared" si="3"/>
        <v>56.602694201222164</v>
      </c>
      <c r="BA9" s="150"/>
    </row>
    <row r="10" spans="1:62" ht="15" customHeight="1" x14ac:dyDescent="0.25">
      <c r="A10" s="117" t="s">
        <v>193</v>
      </c>
      <c r="B10" s="118" t="s">
        <v>190</v>
      </c>
      <c r="C10" s="118" t="s">
        <v>159</v>
      </c>
      <c r="D10" s="15">
        <v>1</v>
      </c>
      <c r="E10" s="14">
        <v>1</v>
      </c>
      <c r="F10" s="15">
        <v>0</v>
      </c>
      <c r="G10" s="15">
        <v>0</v>
      </c>
      <c r="H10" s="67">
        <f t="shared" si="0"/>
        <v>1</v>
      </c>
      <c r="I10" s="71">
        <v>0</v>
      </c>
      <c r="J10" s="71">
        <v>0</v>
      </c>
      <c r="K10" s="71">
        <v>0</v>
      </c>
      <c r="L10" s="70">
        <v>0</v>
      </c>
      <c r="M10" s="70">
        <v>0</v>
      </c>
      <c r="N10" s="70">
        <v>417.64492397118266</v>
      </c>
      <c r="O10" s="70">
        <v>3687.2652951805526</v>
      </c>
      <c r="P10" s="70">
        <v>14868.646062400001</v>
      </c>
      <c r="Q10" s="70">
        <v>67.600000000000009</v>
      </c>
      <c r="R10" s="70">
        <v>67.600000000000009</v>
      </c>
      <c r="S10" s="70">
        <v>0</v>
      </c>
      <c r="T10" s="70"/>
      <c r="U10" s="70"/>
      <c r="V10" s="70"/>
      <c r="W10" s="70"/>
      <c r="X10" s="70"/>
      <c r="Y10" s="70"/>
      <c r="Z10" s="70"/>
      <c r="AA10" s="70"/>
      <c r="AB10" s="70"/>
      <c r="AC10" s="70"/>
      <c r="AD10" s="70">
        <f t="shared" si="1"/>
        <v>19108.756281551734</v>
      </c>
      <c r="AE10" s="71">
        <f t="shared" si="2"/>
        <v>0</v>
      </c>
      <c r="AF10" s="71">
        <f t="shared" si="2"/>
        <v>0</v>
      </c>
      <c r="AG10" s="71">
        <f t="shared" si="2"/>
        <v>0</v>
      </c>
      <c r="AH10" s="71">
        <f t="shared" si="2"/>
        <v>0</v>
      </c>
      <c r="AI10" s="71">
        <f t="shared" si="2"/>
        <v>0</v>
      </c>
      <c r="AJ10" s="71">
        <f t="shared" si="2"/>
        <v>417.64492397118266</v>
      </c>
      <c r="AK10" s="71">
        <f t="shared" si="2"/>
        <v>3687.2652951805526</v>
      </c>
      <c r="AL10" s="71">
        <f t="shared" si="2"/>
        <v>14868.646062400001</v>
      </c>
      <c r="AM10" s="71">
        <f t="shared" si="2"/>
        <v>67.600000000000009</v>
      </c>
      <c r="AN10" s="71">
        <f t="shared" si="2"/>
        <v>67.600000000000009</v>
      </c>
      <c r="AO10" s="71">
        <f t="shared" si="2"/>
        <v>0</v>
      </c>
      <c r="AP10" s="71">
        <f t="shared" si="2"/>
        <v>0</v>
      </c>
      <c r="AQ10" s="71">
        <f t="shared" si="2"/>
        <v>0</v>
      </c>
      <c r="AR10" s="71">
        <f t="shared" si="2"/>
        <v>0</v>
      </c>
      <c r="AS10" s="71">
        <f t="shared" si="2"/>
        <v>0</v>
      </c>
      <c r="AT10" s="71">
        <f t="shared" si="2"/>
        <v>0</v>
      </c>
      <c r="AU10" s="71">
        <f t="shared" si="2"/>
        <v>0</v>
      </c>
      <c r="AV10" s="71">
        <f t="shared" si="2"/>
        <v>0</v>
      </c>
      <c r="AW10" s="71">
        <f t="shared" si="2"/>
        <v>0</v>
      </c>
      <c r="AX10" s="71">
        <f t="shared" si="2"/>
        <v>0</v>
      </c>
      <c r="AY10" s="71">
        <f t="shared" si="2"/>
        <v>0</v>
      </c>
      <c r="AZ10" s="70">
        <f t="shared" si="3"/>
        <v>19108.756281551734</v>
      </c>
      <c r="BA10" s="150"/>
    </row>
    <row r="11" spans="1:62" ht="15" customHeight="1" x14ac:dyDescent="0.25">
      <c r="A11" s="117" t="s">
        <v>194</v>
      </c>
      <c r="B11" s="118" t="s">
        <v>190</v>
      </c>
      <c r="C11" s="118" t="s">
        <v>159</v>
      </c>
      <c r="D11" s="15">
        <v>1</v>
      </c>
      <c r="E11" s="14">
        <v>1</v>
      </c>
      <c r="F11" s="15">
        <v>0</v>
      </c>
      <c r="G11" s="15">
        <v>0</v>
      </c>
      <c r="H11" s="67">
        <f t="shared" si="0"/>
        <v>1</v>
      </c>
      <c r="I11" s="71">
        <v>490.27150633483808</v>
      </c>
      <c r="J11" s="71">
        <v>476.16966726312313</v>
      </c>
      <c r="K11" s="71">
        <v>0</v>
      </c>
      <c r="L11" s="70">
        <v>0</v>
      </c>
      <c r="M11" s="70">
        <v>0</v>
      </c>
      <c r="N11" s="70">
        <v>0</v>
      </c>
      <c r="O11" s="70">
        <v>0</v>
      </c>
      <c r="P11" s="70">
        <v>0</v>
      </c>
      <c r="Q11" s="70">
        <v>0</v>
      </c>
      <c r="R11" s="70">
        <v>0</v>
      </c>
      <c r="S11" s="70">
        <v>0</v>
      </c>
      <c r="T11" s="70"/>
      <c r="U11" s="70"/>
      <c r="V11" s="70"/>
      <c r="W11" s="70"/>
      <c r="X11" s="70"/>
      <c r="Y11" s="70"/>
      <c r="Z11" s="70"/>
      <c r="AA11" s="70"/>
      <c r="AB11" s="70"/>
      <c r="AC11" s="70"/>
      <c r="AD11" s="70">
        <f t="shared" si="1"/>
        <v>966.44117359796121</v>
      </c>
      <c r="AE11" s="71">
        <f t="shared" si="2"/>
        <v>490.27150633483808</v>
      </c>
      <c r="AF11" s="71">
        <f t="shared" si="2"/>
        <v>476.16966726312313</v>
      </c>
      <c r="AG11" s="71">
        <f t="shared" si="2"/>
        <v>0</v>
      </c>
      <c r="AH11" s="71">
        <f t="shared" si="2"/>
        <v>0</v>
      </c>
      <c r="AI11" s="71">
        <f t="shared" si="2"/>
        <v>0</v>
      </c>
      <c r="AJ11" s="71">
        <f t="shared" si="2"/>
        <v>0</v>
      </c>
      <c r="AK11" s="71">
        <f t="shared" si="2"/>
        <v>0</v>
      </c>
      <c r="AL11" s="71">
        <f t="shared" si="2"/>
        <v>0</v>
      </c>
      <c r="AM11" s="71">
        <f t="shared" si="2"/>
        <v>0</v>
      </c>
      <c r="AN11" s="71">
        <f t="shared" si="2"/>
        <v>0</v>
      </c>
      <c r="AO11" s="71">
        <f t="shared" si="2"/>
        <v>0</v>
      </c>
      <c r="AP11" s="71">
        <f t="shared" si="2"/>
        <v>0</v>
      </c>
      <c r="AQ11" s="71">
        <f t="shared" si="2"/>
        <v>0</v>
      </c>
      <c r="AR11" s="71">
        <f t="shared" si="2"/>
        <v>0</v>
      </c>
      <c r="AS11" s="71">
        <f t="shared" si="2"/>
        <v>0</v>
      </c>
      <c r="AT11" s="71">
        <f t="shared" si="2"/>
        <v>0</v>
      </c>
      <c r="AU11" s="71">
        <f t="shared" si="2"/>
        <v>0</v>
      </c>
      <c r="AV11" s="71">
        <f t="shared" si="2"/>
        <v>0</v>
      </c>
      <c r="AW11" s="71">
        <f t="shared" si="2"/>
        <v>0</v>
      </c>
      <c r="AX11" s="71">
        <f t="shared" si="2"/>
        <v>0</v>
      </c>
      <c r="AY11" s="71">
        <f t="shared" si="2"/>
        <v>0</v>
      </c>
      <c r="AZ11" s="70">
        <f t="shared" si="3"/>
        <v>966.44117359796121</v>
      </c>
      <c r="BA11" s="150"/>
    </row>
    <row r="12" spans="1:62" ht="15" customHeight="1" x14ac:dyDescent="0.25">
      <c r="A12" s="117" t="s">
        <v>195</v>
      </c>
      <c r="B12" s="118" t="s">
        <v>190</v>
      </c>
      <c r="C12" s="118" t="s">
        <v>155</v>
      </c>
      <c r="D12" s="15">
        <v>1</v>
      </c>
      <c r="E12" s="14">
        <v>1</v>
      </c>
      <c r="F12" s="15">
        <v>0</v>
      </c>
      <c r="G12" s="15">
        <v>0</v>
      </c>
      <c r="H12" s="67">
        <f t="shared" si="0"/>
        <v>1</v>
      </c>
      <c r="I12" s="71">
        <v>0</v>
      </c>
      <c r="J12" s="71">
        <v>0</v>
      </c>
      <c r="K12" s="71">
        <v>0</v>
      </c>
      <c r="L12" s="70">
        <v>277.58066046352133</v>
      </c>
      <c r="M12" s="70">
        <v>925.61691618164264</v>
      </c>
      <c r="N12" s="70">
        <v>7811.4784098531381</v>
      </c>
      <c r="O12" s="70">
        <v>8235.0137808949585</v>
      </c>
      <c r="P12" s="70">
        <v>13.278720000000002</v>
      </c>
      <c r="Q12" s="70">
        <v>28.618720000000003</v>
      </c>
      <c r="R12" s="70">
        <v>0</v>
      </c>
      <c r="S12" s="70">
        <v>0</v>
      </c>
      <c r="T12" s="70"/>
      <c r="U12" s="70"/>
      <c r="V12" s="70"/>
      <c r="W12" s="70"/>
      <c r="X12" s="70"/>
      <c r="Y12" s="70"/>
      <c r="Z12" s="70"/>
      <c r="AA12" s="70"/>
      <c r="AB12" s="70"/>
      <c r="AC12" s="70"/>
      <c r="AD12" s="70">
        <f t="shared" si="1"/>
        <v>17291.587207393259</v>
      </c>
      <c r="AE12" s="71">
        <f t="shared" si="2"/>
        <v>0</v>
      </c>
      <c r="AF12" s="71">
        <f t="shared" si="2"/>
        <v>0</v>
      </c>
      <c r="AG12" s="71">
        <f t="shared" si="2"/>
        <v>0</v>
      </c>
      <c r="AH12" s="71">
        <f t="shared" si="2"/>
        <v>277.58066046352133</v>
      </c>
      <c r="AI12" s="71">
        <f t="shared" si="2"/>
        <v>925.61691618164264</v>
      </c>
      <c r="AJ12" s="71">
        <f t="shared" si="2"/>
        <v>7811.4784098531381</v>
      </c>
      <c r="AK12" s="71">
        <f t="shared" si="2"/>
        <v>8235.0137808949585</v>
      </c>
      <c r="AL12" s="71">
        <f t="shared" si="2"/>
        <v>13.278720000000002</v>
      </c>
      <c r="AM12" s="71">
        <f t="shared" si="2"/>
        <v>28.618720000000003</v>
      </c>
      <c r="AN12" s="71">
        <f t="shared" si="2"/>
        <v>0</v>
      </c>
      <c r="AO12" s="71">
        <f t="shared" si="2"/>
        <v>0</v>
      </c>
      <c r="AP12" s="71">
        <f t="shared" si="2"/>
        <v>0</v>
      </c>
      <c r="AQ12" s="71">
        <f t="shared" si="2"/>
        <v>0</v>
      </c>
      <c r="AR12" s="71">
        <f t="shared" si="2"/>
        <v>0</v>
      </c>
      <c r="AS12" s="71">
        <f t="shared" si="2"/>
        <v>0</v>
      </c>
      <c r="AT12" s="71">
        <f t="shared" si="2"/>
        <v>0</v>
      </c>
      <c r="AU12" s="71">
        <f t="shared" si="2"/>
        <v>0</v>
      </c>
      <c r="AV12" s="71">
        <f t="shared" si="2"/>
        <v>0</v>
      </c>
      <c r="AW12" s="71">
        <f t="shared" si="2"/>
        <v>0</v>
      </c>
      <c r="AX12" s="71">
        <f t="shared" si="2"/>
        <v>0</v>
      </c>
      <c r="AY12" s="71">
        <f t="shared" si="2"/>
        <v>0</v>
      </c>
      <c r="AZ12" s="70">
        <f t="shared" si="3"/>
        <v>17291.587207393259</v>
      </c>
      <c r="BA12" s="150"/>
    </row>
    <row r="13" spans="1:62" ht="15" customHeight="1" x14ac:dyDescent="0.25">
      <c r="A13" s="117" t="s">
        <v>196</v>
      </c>
      <c r="B13" s="118" t="s">
        <v>190</v>
      </c>
      <c r="C13" s="118" t="s">
        <v>155</v>
      </c>
      <c r="D13" s="15">
        <v>1</v>
      </c>
      <c r="E13" s="14">
        <v>1</v>
      </c>
      <c r="F13" s="15">
        <v>0</v>
      </c>
      <c r="G13" s="15">
        <v>0</v>
      </c>
      <c r="H13" s="67">
        <f t="shared" si="0"/>
        <v>1</v>
      </c>
      <c r="I13" s="71">
        <v>0</v>
      </c>
      <c r="J13" s="71">
        <v>0</v>
      </c>
      <c r="K13" s="71">
        <v>0</v>
      </c>
      <c r="L13" s="70">
        <v>0</v>
      </c>
      <c r="M13" s="70">
        <v>0</v>
      </c>
      <c r="N13" s="70">
        <v>0</v>
      </c>
      <c r="O13" s="70">
        <v>894.64853573366634</v>
      </c>
      <c r="P13" s="70">
        <v>0</v>
      </c>
      <c r="Q13" s="70">
        <v>0</v>
      </c>
      <c r="R13" s="70">
        <v>0</v>
      </c>
      <c r="S13" s="70">
        <v>0</v>
      </c>
      <c r="T13" s="70"/>
      <c r="U13" s="70"/>
      <c r="V13" s="70"/>
      <c r="W13" s="70"/>
      <c r="X13" s="70"/>
      <c r="Y13" s="70"/>
      <c r="Z13" s="70"/>
      <c r="AA13" s="70"/>
      <c r="AB13" s="70"/>
      <c r="AC13" s="70"/>
      <c r="AD13" s="70">
        <f t="shared" si="1"/>
        <v>894.64853573366634</v>
      </c>
      <c r="AE13" s="71">
        <f t="shared" si="2"/>
        <v>0</v>
      </c>
      <c r="AF13" s="71">
        <f t="shared" si="2"/>
        <v>0</v>
      </c>
      <c r="AG13" s="71">
        <f t="shared" si="2"/>
        <v>0</v>
      </c>
      <c r="AH13" s="71">
        <f t="shared" si="2"/>
        <v>0</v>
      </c>
      <c r="AI13" s="71">
        <f t="shared" si="2"/>
        <v>0</v>
      </c>
      <c r="AJ13" s="71">
        <f t="shared" si="2"/>
        <v>0</v>
      </c>
      <c r="AK13" s="71">
        <f t="shared" si="2"/>
        <v>894.64853573366634</v>
      </c>
      <c r="AL13" s="71">
        <f t="shared" si="2"/>
        <v>0</v>
      </c>
      <c r="AM13" s="71">
        <f t="shared" si="2"/>
        <v>0</v>
      </c>
      <c r="AN13" s="71">
        <f t="shared" si="2"/>
        <v>0</v>
      </c>
      <c r="AO13" s="71">
        <f t="shared" si="2"/>
        <v>0</v>
      </c>
      <c r="AP13" s="71">
        <f t="shared" si="2"/>
        <v>0</v>
      </c>
      <c r="AQ13" s="71">
        <f t="shared" si="2"/>
        <v>0</v>
      </c>
      <c r="AR13" s="71">
        <f t="shared" si="2"/>
        <v>0</v>
      </c>
      <c r="AS13" s="71">
        <f t="shared" si="2"/>
        <v>0</v>
      </c>
      <c r="AT13" s="71">
        <f t="shared" si="2"/>
        <v>0</v>
      </c>
      <c r="AU13" s="71">
        <f t="shared" si="2"/>
        <v>0</v>
      </c>
      <c r="AV13" s="71">
        <f t="shared" si="2"/>
        <v>0</v>
      </c>
      <c r="AW13" s="71">
        <f t="shared" si="2"/>
        <v>0</v>
      </c>
      <c r="AX13" s="71">
        <f t="shared" si="2"/>
        <v>0</v>
      </c>
      <c r="AY13" s="71">
        <f t="shared" si="2"/>
        <v>0</v>
      </c>
      <c r="AZ13" s="70">
        <f t="shared" si="3"/>
        <v>894.64853573366634</v>
      </c>
      <c r="BA13" s="150"/>
    </row>
    <row r="14" spans="1:62" ht="15" customHeight="1" x14ac:dyDescent="0.25">
      <c r="A14" s="117" t="s">
        <v>197</v>
      </c>
      <c r="B14" s="118" t="s">
        <v>190</v>
      </c>
      <c r="C14" s="118" t="s">
        <v>157</v>
      </c>
      <c r="D14" s="15">
        <v>1</v>
      </c>
      <c r="E14" s="14">
        <v>1</v>
      </c>
      <c r="F14" s="15">
        <v>0</v>
      </c>
      <c r="G14" s="15">
        <v>0</v>
      </c>
      <c r="H14" s="67">
        <f t="shared" si="0"/>
        <v>1</v>
      </c>
      <c r="I14" s="71">
        <v>0</v>
      </c>
      <c r="J14" s="71">
        <v>0</v>
      </c>
      <c r="K14" s="71">
        <v>0</v>
      </c>
      <c r="L14" s="70">
        <v>0</v>
      </c>
      <c r="M14" s="70">
        <v>133.26289443135144</v>
      </c>
      <c r="N14" s="70">
        <v>816.15934643722403</v>
      </c>
      <c r="O14" s="70">
        <v>3098.1528829447675</v>
      </c>
      <c r="P14" s="70">
        <v>0</v>
      </c>
      <c r="Q14" s="70">
        <v>0</v>
      </c>
      <c r="R14" s="70"/>
      <c r="S14" s="70"/>
      <c r="T14" s="70"/>
      <c r="U14" s="70"/>
      <c r="V14" s="70"/>
      <c r="W14" s="70"/>
      <c r="X14" s="70"/>
      <c r="Y14" s="70"/>
      <c r="Z14" s="70"/>
      <c r="AA14" s="70"/>
      <c r="AB14" s="70"/>
      <c r="AC14" s="70"/>
      <c r="AD14" s="70">
        <f t="shared" si="1"/>
        <v>4047.575123813343</v>
      </c>
      <c r="AE14" s="71">
        <f t="shared" si="2"/>
        <v>0</v>
      </c>
      <c r="AF14" s="71">
        <f t="shared" si="2"/>
        <v>0</v>
      </c>
      <c r="AG14" s="71">
        <f t="shared" si="2"/>
        <v>0</v>
      </c>
      <c r="AH14" s="71">
        <f t="shared" si="2"/>
        <v>0</v>
      </c>
      <c r="AI14" s="71">
        <f t="shared" si="2"/>
        <v>133.26289443135144</v>
      </c>
      <c r="AJ14" s="71">
        <f t="shared" si="2"/>
        <v>816.15934643722403</v>
      </c>
      <c r="AK14" s="71">
        <f t="shared" si="2"/>
        <v>3098.1528829447675</v>
      </c>
      <c r="AL14" s="71">
        <f t="shared" si="2"/>
        <v>0</v>
      </c>
      <c r="AM14" s="71">
        <f t="shared" si="2"/>
        <v>0</v>
      </c>
      <c r="AN14" s="71">
        <f t="shared" si="2"/>
        <v>0</v>
      </c>
      <c r="AO14" s="71">
        <f t="shared" si="2"/>
        <v>0</v>
      </c>
      <c r="AP14" s="71">
        <f t="shared" si="2"/>
        <v>0</v>
      </c>
      <c r="AQ14" s="71">
        <f t="shared" si="2"/>
        <v>0</v>
      </c>
      <c r="AR14" s="71">
        <f t="shared" si="2"/>
        <v>0</v>
      </c>
      <c r="AS14" s="71">
        <f t="shared" si="2"/>
        <v>0</v>
      </c>
      <c r="AT14" s="71">
        <f t="shared" si="2"/>
        <v>0</v>
      </c>
      <c r="AU14" s="71">
        <f t="shared" si="2"/>
        <v>0</v>
      </c>
      <c r="AV14" s="71">
        <f t="shared" si="2"/>
        <v>0</v>
      </c>
      <c r="AW14" s="71">
        <f t="shared" si="2"/>
        <v>0</v>
      </c>
      <c r="AX14" s="71">
        <f t="shared" si="2"/>
        <v>0</v>
      </c>
      <c r="AY14" s="71">
        <f t="shared" si="2"/>
        <v>0</v>
      </c>
      <c r="AZ14" s="70">
        <f t="shared" si="3"/>
        <v>4047.575123813343</v>
      </c>
      <c r="BA14" s="150"/>
    </row>
    <row r="15" spans="1:62" ht="15" customHeight="1" x14ac:dyDescent="0.25">
      <c r="A15" s="117" t="s">
        <v>198</v>
      </c>
      <c r="B15" s="118" t="s">
        <v>190</v>
      </c>
      <c r="C15" s="118" t="s">
        <v>157</v>
      </c>
      <c r="D15" s="15">
        <v>1</v>
      </c>
      <c r="E15" s="14">
        <v>1</v>
      </c>
      <c r="F15" s="15">
        <v>0</v>
      </c>
      <c r="G15" s="15">
        <v>0</v>
      </c>
      <c r="H15" s="67">
        <f t="shared" ref="H15" si="4">SUM(E15:G15)</f>
        <v>1</v>
      </c>
      <c r="I15" s="71"/>
      <c r="J15" s="71"/>
      <c r="K15" s="71"/>
      <c r="L15" s="70"/>
      <c r="M15" s="70"/>
      <c r="N15" s="70"/>
      <c r="O15" s="70">
        <v>0</v>
      </c>
      <c r="P15" s="70">
        <v>4993.0007400000004</v>
      </c>
      <c r="Q15" s="70">
        <v>12480</v>
      </c>
      <c r="R15" s="70">
        <v>3359.2000000000003</v>
      </c>
      <c r="S15" s="70">
        <v>52</v>
      </c>
      <c r="T15" s="70"/>
      <c r="U15" s="70"/>
      <c r="V15" s="70"/>
      <c r="W15" s="70"/>
      <c r="X15" s="70"/>
      <c r="Y15" s="70"/>
      <c r="Z15" s="70"/>
      <c r="AA15" s="70"/>
      <c r="AB15" s="70"/>
      <c r="AC15" s="70"/>
      <c r="AD15" s="70">
        <f t="shared" ref="AD15" si="5">SUM(I15:AC15)</f>
        <v>20884.20074</v>
      </c>
      <c r="AE15" s="71">
        <f t="shared" ref="AE15" si="6">I15*$D15*$E15</f>
        <v>0</v>
      </c>
      <c r="AF15" s="71">
        <f t="shared" ref="AF15" si="7">J15*$D15*$E15</f>
        <v>0</v>
      </c>
      <c r="AG15" s="71">
        <f t="shared" ref="AG15" si="8">K15*$D15*$E15</f>
        <v>0</v>
      </c>
      <c r="AH15" s="71">
        <f t="shared" ref="AH15" si="9">L15*$D15*$E15</f>
        <v>0</v>
      </c>
      <c r="AI15" s="71">
        <f t="shared" ref="AI15" si="10">M15*$D15*$E15</f>
        <v>0</v>
      </c>
      <c r="AJ15" s="71">
        <f t="shared" ref="AJ15" si="11">N15*$D15*$E15</f>
        <v>0</v>
      </c>
      <c r="AK15" s="71">
        <f t="shared" ref="AK15" si="12">O15*$D15*$E15</f>
        <v>0</v>
      </c>
      <c r="AL15" s="71">
        <f t="shared" ref="AL15" si="13">P15*$D15*$E15</f>
        <v>4993.0007400000004</v>
      </c>
      <c r="AM15" s="71">
        <f t="shared" ref="AM15" si="14">Q15*$D15*$E15</f>
        <v>12480</v>
      </c>
      <c r="AN15" s="71">
        <f t="shared" ref="AN15" si="15">R15*$D15*$E15</f>
        <v>3359.2000000000003</v>
      </c>
      <c r="AO15" s="71">
        <f t="shared" ref="AO15" si="16">S15*$D15*$E15</f>
        <v>52</v>
      </c>
      <c r="AP15" s="71">
        <f t="shared" ref="AP15" si="17">T15*$D15*$E15</f>
        <v>0</v>
      </c>
      <c r="AQ15" s="71">
        <f t="shared" ref="AQ15" si="18">U15*$D15*$E15</f>
        <v>0</v>
      </c>
      <c r="AR15" s="71">
        <f t="shared" ref="AR15" si="19">V15*$D15*$E15</f>
        <v>0</v>
      </c>
      <c r="AS15" s="71">
        <f t="shared" ref="AS15" si="20">W15*$D15*$E15</f>
        <v>0</v>
      </c>
      <c r="AT15" s="71">
        <f t="shared" ref="AT15" si="21">X15*$D15*$E15</f>
        <v>0</v>
      </c>
      <c r="AU15" s="71">
        <f t="shared" ref="AU15" si="22">Y15*$D15*$E15</f>
        <v>0</v>
      </c>
      <c r="AV15" s="71">
        <f t="shared" ref="AV15" si="23">Z15*$D15*$E15</f>
        <v>0</v>
      </c>
      <c r="AW15" s="71">
        <f t="shared" ref="AW15" si="24">AA15*$D15*$E15</f>
        <v>0</v>
      </c>
      <c r="AX15" s="71">
        <f t="shared" ref="AX15" si="25">AB15*$D15*$E15</f>
        <v>0</v>
      </c>
      <c r="AY15" s="71">
        <f t="shared" ref="AY15" si="26">AC15*$D15*$E15</f>
        <v>0</v>
      </c>
      <c r="AZ15" s="70">
        <f t="shared" ref="AZ15" si="27">SUM(AE15:AY15)</f>
        <v>20884.20074</v>
      </c>
      <c r="BA15" s="150"/>
    </row>
    <row r="16" spans="1:62" ht="15" customHeight="1" x14ac:dyDescent="0.25">
      <c r="A16" s="117" t="s">
        <v>199</v>
      </c>
      <c r="B16" s="118" t="s">
        <v>190</v>
      </c>
      <c r="C16" s="118" t="s">
        <v>28</v>
      </c>
      <c r="D16" s="15">
        <v>1</v>
      </c>
      <c r="E16" s="14">
        <v>1</v>
      </c>
      <c r="F16" s="15">
        <v>0</v>
      </c>
      <c r="G16" s="15">
        <v>0</v>
      </c>
      <c r="H16" s="67">
        <f t="shared" si="0"/>
        <v>1</v>
      </c>
      <c r="I16" s="71"/>
      <c r="J16" s="71"/>
      <c r="K16" s="71"/>
      <c r="L16" s="70"/>
      <c r="M16" s="70"/>
      <c r="N16" s="70"/>
      <c r="O16" s="70"/>
      <c r="P16" s="70"/>
      <c r="Q16" s="70">
        <f>16800*0.15*1.04</f>
        <v>2620.8000000000002</v>
      </c>
      <c r="R16" s="70">
        <f>16800*0.15*1.04</f>
        <v>2620.8000000000002</v>
      </c>
      <c r="S16" s="70">
        <f>16800*0.7*1.04</f>
        <v>12230.4</v>
      </c>
      <c r="T16" s="70"/>
      <c r="U16" s="70"/>
      <c r="V16" s="70"/>
      <c r="W16" s="70"/>
      <c r="X16" s="70"/>
      <c r="Y16" s="70"/>
      <c r="Z16" s="70"/>
      <c r="AA16" s="70"/>
      <c r="AB16" s="70"/>
      <c r="AC16" s="70"/>
      <c r="AD16" s="70">
        <f t="shared" si="1"/>
        <v>17472</v>
      </c>
      <c r="AE16" s="71">
        <f t="shared" si="2"/>
        <v>0</v>
      </c>
      <c r="AF16" s="71">
        <f t="shared" si="2"/>
        <v>0</v>
      </c>
      <c r="AG16" s="71">
        <f t="shared" si="2"/>
        <v>0</v>
      </c>
      <c r="AH16" s="71">
        <f t="shared" si="2"/>
        <v>0</v>
      </c>
      <c r="AI16" s="71">
        <f t="shared" si="2"/>
        <v>0</v>
      </c>
      <c r="AJ16" s="71">
        <f t="shared" si="2"/>
        <v>0</v>
      </c>
      <c r="AK16" s="71">
        <f t="shared" si="2"/>
        <v>0</v>
      </c>
      <c r="AL16" s="71">
        <f t="shared" si="2"/>
        <v>0</v>
      </c>
      <c r="AM16" s="71">
        <f t="shared" si="2"/>
        <v>2620.8000000000002</v>
      </c>
      <c r="AN16" s="71">
        <f t="shared" si="2"/>
        <v>2620.8000000000002</v>
      </c>
      <c r="AO16" s="71">
        <f t="shared" si="2"/>
        <v>12230.4</v>
      </c>
      <c r="AP16" s="71">
        <f t="shared" si="2"/>
        <v>0</v>
      </c>
      <c r="AQ16" s="71">
        <f t="shared" si="2"/>
        <v>0</v>
      </c>
      <c r="AR16" s="71">
        <f t="shared" si="2"/>
        <v>0</v>
      </c>
      <c r="AS16" s="71">
        <f t="shared" si="2"/>
        <v>0</v>
      </c>
      <c r="AT16" s="71">
        <f t="shared" si="2"/>
        <v>0</v>
      </c>
      <c r="AU16" s="71">
        <f t="shared" si="2"/>
        <v>0</v>
      </c>
      <c r="AV16" s="71">
        <f t="shared" si="2"/>
        <v>0</v>
      </c>
      <c r="AW16" s="71">
        <f t="shared" si="2"/>
        <v>0</v>
      </c>
      <c r="AX16" s="71">
        <f t="shared" si="2"/>
        <v>0</v>
      </c>
      <c r="AY16" s="71">
        <f t="shared" si="2"/>
        <v>0</v>
      </c>
      <c r="AZ16" s="70">
        <f t="shared" si="3"/>
        <v>17472</v>
      </c>
      <c r="BA16" s="150"/>
    </row>
    <row r="17" spans="1:53" ht="15" customHeight="1" x14ac:dyDescent="0.25">
      <c r="A17" s="117" t="s">
        <v>200</v>
      </c>
      <c r="B17" s="118" t="s">
        <v>190</v>
      </c>
      <c r="C17" s="118" t="s">
        <v>28</v>
      </c>
      <c r="D17" s="15">
        <v>0.75</v>
      </c>
      <c r="E17" s="14">
        <v>0.4</v>
      </c>
      <c r="F17" s="15">
        <v>0.6</v>
      </c>
      <c r="G17" s="15">
        <v>0</v>
      </c>
      <c r="H17" s="67">
        <f t="shared" si="0"/>
        <v>1</v>
      </c>
      <c r="I17" s="71"/>
      <c r="J17" s="71"/>
      <c r="K17" s="71"/>
      <c r="L17" s="70"/>
      <c r="M17" s="70"/>
      <c r="N17" s="70"/>
      <c r="O17" s="70"/>
      <c r="P17" s="70">
        <f>[64]Sheet1!N13*1.04/1000</f>
        <v>520</v>
      </c>
      <c r="Q17" s="70">
        <f>[64]Sheet1!O13*1.04/1000</f>
        <v>1560</v>
      </c>
      <c r="R17" s="70">
        <f>[64]Sheet1!P13*1.04/1000</f>
        <v>1560</v>
      </c>
      <c r="S17" s="70">
        <v>0</v>
      </c>
      <c r="T17" s="70">
        <v>0</v>
      </c>
      <c r="U17" s="70">
        <v>0</v>
      </c>
      <c r="V17" s="70">
        <v>0</v>
      </c>
      <c r="W17" s="70">
        <v>0</v>
      </c>
      <c r="X17" s="70">
        <v>0</v>
      </c>
      <c r="Y17" s="70">
        <v>0</v>
      </c>
      <c r="Z17" s="70"/>
      <c r="AA17" s="70"/>
      <c r="AB17" s="70"/>
      <c r="AC17" s="70"/>
      <c r="AD17" s="70">
        <f t="shared" ref="AD17:AD20" si="28">SUM(I17:AC17)</f>
        <v>3640</v>
      </c>
      <c r="AE17" s="71">
        <f t="shared" si="2"/>
        <v>0</v>
      </c>
      <c r="AF17" s="71">
        <f t="shared" si="2"/>
        <v>0</v>
      </c>
      <c r="AG17" s="71">
        <f t="shared" si="2"/>
        <v>0</v>
      </c>
      <c r="AH17" s="71">
        <f t="shared" si="2"/>
        <v>0</v>
      </c>
      <c r="AI17" s="71">
        <f t="shared" si="2"/>
        <v>0</v>
      </c>
      <c r="AJ17" s="71">
        <f t="shared" si="2"/>
        <v>0</v>
      </c>
      <c r="AK17" s="71">
        <f t="shared" si="2"/>
        <v>0</v>
      </c>
      <c r="AL17" s="71">
        <f t="shared" si="2"/>
        <v>156</v>
      </c>
      <c r="AM17" s="71">
        <f t="shared" si="2"/>
        <v>468</v>
      </c>
      <c r="AN17" s="71">
        <f t="shared" si="2"/>
        <v>468</v>
      </c>
      <c r="AO17" s="71">
        <f t="shared" si="2"/>
        <v>0</v>
      </c>
      <c r="AP17" s="71">
        <f t="shared" si="2"/>
        <v>0</v>
      </c>
      <c r="AQ17" s="71">
        <f t="shared" si="2"/>
        <v>0</v>
      </c>
      <c r="AR17" s="71">
        <f t="shared" si="2"/>
        <v>0</v>
      </c>
      <c r="AS17" s="71">
        <f t="shared" si="2"/>
        <v>0</v>
      </c>
      <c r="AT17" s="71">
        <f t="shared" si="2"/>
        <v>0</v>
      </c>
      <c r="AU17" s="71">
        <f t="shared" si="2"/>
        <v>0</v>
      </c>
      <c r="AV17" s="71">
        <f t="shared" si="2"/>
        <v>0</v>
      </c>
      <c r="AW17" s="71">
        <f t="shared" si="2"/>
        <v>0</v>
      </c>
      <c r="AX17" s="71">
        <f t="shared" si="2"/>
        <v>0</v>
      </c>
      <c r="AY17" s="71">
        <f t="shared" si="2"/>
        <v>0</v>
      </c>
      <c r="AZ17" s="70">
        <f t="shared" ref="AZ17:AZ20" si="29">SUM(AE17:AY17)</f>
        <v>1092</v>
      </c>
      <c r="BA17" s="150"/>
    </row>
    <row r="18" spans="1:53" ht="15" customHeight="1" x14ac:dyDescent="0.25">
      <c r="A18" s="117" t="s">
        <v>201</v>
      </c>
      <c r="B18" s="118" t="s">
        <v>190</v>
      </c>
      <c r="C18" s="118" t="s">
        <v>28</v>
      </c>
      <c r="D18" s="15">
        <v>1</v>
      </c>
      <c r="E18" s="14">
        <v>1</v>
      </c>
      <c r="F18" s="15">
        <v>0</v>
      </c>
      <c r="G18" s="15">
        <v>0</v>
      </c>
      <c r="H18" s="67">
        <f t="shared" ref="H18:H19" si="30">SUM(E18:G18)</f>
        <v>1</v>
      </c>
      <c r="I18" s="71"/>
      <c r="J18" s="71"/>
      <c r="K18" s="71"/>
      <c r="L18" s="70"/>
      <c r="M18" s="70"/>
      <c r="N18" s="70"/>
      <c r="O18" s="70"/>
      <c r="P18" s="70">
        <f>203.5*1.04</f>
        <v>211.64000000000001</v>
      </c>
      <c r="Q18" s="70"/>
      <c r="R18" s="70"/>
      <c r="S18" s="70"/>
      <c r="T18" s="70"/>
      <c r="U18" s="70"/>
      <c r="V18" s="70"/>
      <c r="W18" s="70"/>
      <c r="X18" s="70"/>
      <c r="Y18" s="70"/>
      <c r="Z18" s="70"/>
      <c r="AA18" s="70"/>
      <c r="AB18" s="70"/>
      <c r="AC18" s="70"/>
      <c r="AD18" s="70">
        <f t="shared" ref="AD18:AD19" si="31">SUM(I18:AC18)</f>
        <v>211.64000000000001</v>
      </c>
      <c r="AE18" s="71">
        <f t="shared" ref="AE18:AE19" si="32">I18*$D18*$E18</f>
        <v>0</v>
      </c>
      <c r="AF18" s="71">
        <f t="shared" ref="AF18:AF19" si="33">J18*$D18*$E18</f>
        <v>0</v>
      </c>
      <c r="AG18" s="71">
        <f t="shared" ref="AG18:AG19" si="34">K18*$D18*$E18</f>
        <v>0</v>
      </c>
      <c r="AH18" s="71">
        <f t="shared" ref="AH18:AH19" si="35">L18*$D18*$E18</f>
        <v>0</v>
      </c>
      <c r="AI18" s="71">
        <f t="shared" ref="AI18:AI19" si="36">M18*$D18*$E18</f>
        <v>0</v>
      </c>
      <c r="AJ18" s="71">
        <f t="shared" ref="AJ18:AJ19" si="37">N18*$D18*$E18</f>
        <v>0</v>
      </c>
      <c r="AK18" s="71">
        <f t="shared" ref="AK18:AK19" si="38">O18*$D18*$E18</f>
        <v>0</v>
      </c>
      <c r="AL18" s="71">
        <f t="shared" ref="AL18:AL19" si="39">P18*$D18*$E18</f>
        <v>211.64000000000001</v>
      </c>
      <c r="AM18" s="71">
        <f t="shared" ref="AM18:AM19" si="40">Q18*$D18*$E18</f>
        <v>0</v>
      </c>
      <c r="AN18" s="71">
        <f t="shared" ref="AN18:AN19" si="41">R18*$D18*$E18</f>
        <v>0</v>
      </c>
      <c r="AO18" s="71">
        <f t="shared" ref="AO18:AO19" si="42">S18*$D18*$E18</f>
        <v>0</v>
      </c>
      <c r="AP18" s="71">
        <f t="shared" ref="AP18:AP19" si="43">T18*$D18*$E18</f>
        <v>0</v>
      </c>
      <c r="AQ18" s="71">
        <f t="shared" ref="AQ18:AQ19" si="44">U18*$D18*$E18</f>
        <v>0</v>
      </c>
      <c r="AR18" s="71">
        <f t="shared" ref="AR18:AR19" si="45">V18*$D18*$E18</f>
        <v>0</v>
      </c>
      <c r="AS18" s="71">
        <f t="shared" ref="AS18:AS19" si="46">W18*$D18*$E18</f>
        <v>0</v>
      </c>
      <c r="AT18" s="71">
        <f t="shared" ref="AT18:AT19" si="47">X18*$D18*$E18</f>
        <v>0</v>
      </c>
      <c r="AU18" s="71">
        <f t="shared" ref="AU18:AU19" si="48">Y18*$D18*$E18</f>
        <v>0</v>
      </c>
      <c r="AV18" s="71">
        <f t="shared" ref="AV18:AV19" si="49">Z18*$D18*$E18</f>
        <v>0</v>
      </c>
      <c r="AW18" s="71">
        <f t="shared" ref="AW18:AW19" si="50">AA18*$D18*$E18</f>
        <v>0</v>
      </c>
      <c r="AX18" s="71">
        <f t="shared" ref="AX18:AX19" si="51">AB18*$D18*$E18</f>
        <v>0</v>
      </c>
      <c r="AY18" s="71">
        <f t="shared" ref="AY18:AY19" si="52">AC18*$D18*$E18</f>
        <v>0</v>
      </c>
      <c r="AZ18" s="70">
        <f t="shared" ref="AZ18:AZ19" si="53">SUM(AE18:AY18)</f>
        <v>211.64000000000001</v>
      </c>
      <c r="BA18" s="150"/>
    </row>
    <row r="19" spans="1:53" ht="15" customHeight="1" x14ac:dyDescent="0.25">
      <c r="A19" s="117" t="s">
        <v>202</v>
      </c>
      <c r="B19" s="118" t="s">
        <v>190</v>
      </c>
      <c r="C19" s="118" t="s">
        <v>158</v>
      </c>
      <c r="D19" s="15">
        <v>1</v>
      </c>
      <c r="E19" s="14">
        <v>1</v>
      </c>
      <c r="F19" s="15">
        <v>0</v>
      </c>
      <c r="G19" s="15">
        <v>0</v>
      </c>
      <c r="H19" s="67">
        <f t="shared" si="30"/>
        <v>1</v>
      </c>
      <c r="I19" s="71"/>
      <c r="J19" s="71"/>
      <c r="K19" s="71"/>
      <c r="L19" s="70"/>
      <c r="M19" s="70"/>
      <c r="N19" s="70"/>
      <c r="O19" s="70"/>
      <c r="P19" s="70"/>
      <c r="Q19" s="70"/>
      <c r="R19" s="70"/>
      <c r="S19" s="70"/>
      <c r="T19" s="70"/>
      <c r="U19" s="70"/>
      <c r="V19" s="70"/>
      <c r="W19" s="70"/>
      <c r="X19" s="70"/>
      <c r="Y19" s="70"/>
      <c r="Z19" s="70"/>
      <c r="AA19" s="70"/>
      <c r="AB19" s="70"/>
      <c r="AC19" s="70"/>
      <c r="AD19" s="70">
        <f t="shared" si="31"/>
        <v>0</v>
      </c>
      <c r="AE19" s="71">
        <f t="shared" si="32"/>
        <v>0</v>
      </c>
      <c r="AF19" s="71">
        <f t="shared" si="33"/>
        <v>0</v>
      </c>
      <c r="AG19" s="71">
        <f t="shared" si="34"/>
        <v>0</v>
      </c>
      <c r="AH19" s="71">
        <f t="shared" si="35"/>
        <v>0</v>
      </c>
      <c r="AI19" s="71">
        <f t="shared" si="36"/>
        <v>0</v>
      </c>
      <c r="AJ19" s="71">
        <f t="shared" si="37"/>
        <v>0</v>
      </c>
      <c r="AK19" s="71">
        <f t="shared" si="38"/>
        <v>0</v>
      </c>
      <c r="AL19" s="71">
        <f t="shared" si="39"/>
        <v>0</v>
      </c>
      <c r="AM19" s="71">
        <f t="shared" si="40"/>
        <v>0</v>
      </c>
      <c r="AN19" s="71">
        <f t="shared" si="41"/>
        <v>0</v>
      </c>
      <c r="AO19" s="71">
        <f t="shared" si="42"/>
        <v>0</v>
      </c>
      <c r="AP19" s="71">
        <f t="shared" si="43"/>
        <v>0</v>
      </c>
      <c r="AQ19" s="71">
        <f t="shared" si="44"/>
        <v>0</v>
      </c>
      <c r="AR19" s="71">
        <f t="shared" si="45"/>
        <v>0</v>
      </c>
      <c r="AS19" s="71">
        <f t="shared" si="46"/>
        <v>0</v>
      </c>
      <c r="AT19" s="71">
        <f t="shared" si="47"/>
        <v>0</v>
      </c>
      <c r="AU19" s="71">
        <f t="shared" si="48"/>
        <v>0</v>
      </c>
      <c r="AV19" s="71">
        <f t="shared" si="49"/>
        <v>0</v>
      </c>
      <c r="AW19" s="71">
        <f t="shared" si="50"/>
        <v>0</v>
      </c>
      <c r="AX19" s="71">
        <f t="shared" si="51"/>
        <v>0</v>
      </c>
      <c r="AY19" s="71">
        <f t="shared" si="52"/>
        <v>0</v>
      </c>
      <c r="AZ19" s="70">
        <f t="shared" si="53"/>
        <v>0</v>
      </c>
      <c r="BA19" s="150"/>
    </row>
    <row r="20" spans="1:53" ht="15" customHeight="1" x14ac:dyDescent="0.25">
      <c r="A20" s="117" t="s">
        <v>203</v>
      </c>
      <c r="B20" s="118" t="s">
        <v>190</v>
      </c>
      <c r="C20" s="118" t="s">
        <v>159</v>
      </c>
      <c r="D20" s="15">
        <v>1</v>
      </c>
      <c r="E20" s="14">
        <v>1</v>
      </c>
      <c r="F20" s="15">
        <v>0</v>
      </c>
      <c r="G20" s="15">
        <v>0</v>
      </c>
      <c r="H20" s="67">
        <f t="shared" si="0"/>
        <v>1</v>
      </c>
      <c r="I20" s="71"/>
      <c r="J20" s="71"/>
      <c r="K20" s="71"/>
      <c r="L20" s="70"/>
      <c r="M20" s="70"/>
      <c r="N20" s="70"/>
      <c r="O20" s="70"/>
      <c r="P20" s="70">
        <f>200*1.04</f>
        <v>208</v>
      </c>
      <c r="Q20" s="70">
        <f>400*1.04</f>
        <v>416</v>
      </c>
      <c r="R20" s="70"/>
      <c r="S20" s="70"/>
      <c r="T20" s="70"/>
      <c r="U20" s="70"/>
      <c r="V20" s="70"/>
      <c r="W20" s="70"/>
      <c r="X20" s="70"/>
      <c r="Y20" s="70"/>
      <c r="Z20" s="70"/>
      <c r="AA20" s="70"/>
      <c r="AB20" s="70"/>
      <c r="AC20" s="70"/>
      <c r="AD20" s="70">
        <f t="shared" si="28"/>
        <v>624</v>
      </c>
      <c r="AE20" s="71">
        <f t="shared" si="2"/>
        <v>0</v>
      </c>
      <c r="AF20" s="71">
        <f t="shared" si="2"/>
        <v>0</v>
      </c>
      <c r="AG20" s="71">
        <f t="shared" si="2"/>
        <v>0</v>
      </c>
      <c r="AH20" s="71">
        <f t="shared" si="2"/>
        <v>0</v>
      </c>
      <c r="AI20" s="71">
        <f t="shared" si="2"/>
        <v>0</v>
      </c>
      <c r="AJ20" s="71">
        <f t="shared" si="2"/>
        <v>0</v>
      </c>
      <c r="AK20" s="71">
        <f t="shared" si="2"/>
        <v>0</v>
      </c>
      <c r="AL20" s="71">
        <f t="shared" si="2"/>
        <v>208</v>
      </c>
      <c r="AM20" s="71">
        <f t="shared" si="2"/>
        <v>416</v>
      </c>
      <c r="AN20" s="71">
        <f t="shared" si="2"/>
        <v>0</v>
      </c>
      <c r="AO20" s="71">
        <f t="shared" si="2"/>
        <v>0</v>
      </c>
      <c r="AP20" s="71">
        <f t="shared" si="2"/>
        <v>0</v>
      </c>
      <c r="AQ20" s="71">
        <f t="shared" si="2"/>
        <v>0</v>
      </c>
      <c r="AR20" s="71">
        <f t="shared" si="2"/>
        <v>0</v>
      </c>
      <c r="AS20" s="71">
        <f t="shared" si="2"/>
        <v>0</v>
      </c>
      <c r="AT20" s="71">
        <f t="shared" si="2"/>
        <v>0</v>
      </c>
      <c r="AU20" s="71">
        <f t="shared" si="2"/>
        <v>0</v>
      </c>
      <c r="AV20" s="71">
        <f t="shared" si="2"/>
        <v>0</v>
      </c>
      <c r="AW20" s="71">
        <f t="shared" si="2"/>
        <v>0</v>
      </c>
      <c r="AX20" s="71">
        <f t="shared" si="2"/>
        <v>0</v>
      </c>
      <c r="AY20" s="71">
        <f t="shared" si="2"/>
        <v>0</v>
      </c>
      <c r="AZ20" s="70">
        <f t="shared" si="29"/>
        <v>624</v>
      </c>
      <c r="BA20" s="150"/>
    </row>
    <row r="21" spans="1:53" ht="15" customHeight="1" x14ac:dyDescent="0.25">
      <c r="A21" s="117"/>
      <c r="B21" s="118"/>
      <c r="C21" s="118"/>
      <c r="D21" s="15"/>
      <c r="E21" s="14"/>
      <c r="F21" s="15"/>
      <c r="G21" s="15"/>
      <c r="H21" s="67"/>
      <c r="I21" s="71"/>
      <c r="J21" s="71"/>
      <c r="K21" s="71"/>
      <c r="L21" s="70"/>
      <c r="M21" s="70"/>
      <c r="N21" s="70"/>
      <c r="O21" s="70"/>
      <c r="P21" s="70"/>
      <c r="Q21" s="70"/>
      <c r="R21" s="70"/>
      <c r="S21" s="70"/>
      <c r="T21" s="70"/>
      <c r="U21" s="70"/>
      <c r="V21" s="70"/>
      <c r="W21" s="70"/>
      <c r="X21" s="70"/>
      <c r="Y21" s="70"/>
      <c r="Z21" s="70"/>
      <c r="AA21" s="70"/>
      <c r="AB21" s="70"/>
      <c r="AC21" s="70"/>
      <c r="AD21" s="70"/>
      <c r="AE21" s="71"/>
      <c r="AF21" s="71"/>
      <c r="AG21" s="71"/>
      <c r="AH21" s="71"/>
      <c r="AI21" s="71"/>
      <c r="AJ21" s="71"/>
      <c r="AK21" s="71"/>
      <c r="AL21" s="71"/>
      <c r="AM21" s="71"/>
      <c r="AN21" s="71"/>
      <c r="AO21" s="71"/>
      <c r="AP21" s="71"/>
      <c r="AQ21" s="71"/>
      <c r="AR21" s="71"/>
      <c r="AS21" s="71"/>
      <c r="AT21" s="71"/>
      <c r="AU21" s="71"/>
      <c r="AV21" s="71"/>
      <c r="AW21" s="71"/>
      <c r="AX21" s="71"/>
      <c r="AY21" s="71"/>
      <c r="AZ21" s="70"/>
      <c r="BA21" s="150"/>
    </row>
    <row r="22" spans="1:53" s="138" customFormat="1" ht="15" customHeight="1" x14ac:dyDescent="0.25">
      <c r="A22" s="119" t="s">
        <v>186</v>
      </c>
      <c r="B22" s="152"/>
      <c r="C22" s="152"/>
      <c r="D22" s="152"/>
      <c r="E22" s="152"/>
      <c r="F22" s="152"/>
      <c r="G22" s="152"/>
      <c r="H22" s="152"/>
      <c r="I22" s="153">
        <f t="shared" ref="I22:AZ22" si="54">SUM(I6:I21)</f>
        <v>774.40059284213362</v>
      </c>
      <c r="J22" s="153">
        <f t="shared" si="54"/>
        <v>5082.4918177822583</v>
      </c>
      <c r="K22" s="153">
        <f t="shared" si="54"/>
        <v>772.60820787211037</v>
      </c>
      <c r="L22" s="153">
        <f t="shared" si="54"/>
        <v>416.00690078115542</v>
      </c>
      <c r="M22" s="153">
        <f t="shared" si="54"/>
        <v>2412.1168720014775</v>
      </c>
      <c r="N22" s="153">
        <f t="shared" si="54"/>
        <v>12374.605941922891</v>
      </c>
      <c r="O22" s="153">
        <f t="shared" si="54"/>
        <v>20861.800728587601</v>
      </c>
      <c r="P22" s="153">
        <f t="shared" si="54"/>
        <v>21992.489407200002</v>
      </c>
      <c r="Q22" s="153">
        <f t="shared" si="54"/>
        <v>17173.01872</v>
      </c>
      <c r="R22" s="153">
        <f t="shared" si="54"/>
        <v>7607.6</v>
      </c>
      <c r="S22" s="153">
        <f t="shared" si="54"/>
        <v>12282.4</v>
      </c>
      <c r="T22" s="153">
        <f t="shared" si="54"/>
        <v>0</v>
      </c>
      <c r="U22" s="153">
        <f t="shared" si="54"/>
        <v>0</v>
      </c>
      <c r="V22" s="153">
        <f t="shared" si="54"/>
        <v>0</v>
      </c>
      <c r="W22" s="153">
        <f t="shared" si="54"/>
        <v>0</v>
      </c>
      <c r="X22" s="153">
        <f t="shared" si="54"/>
        <v>0</v>
      </c>
      <c r="Y22" s="153">
        <f t="shared" si="54"/>
        <v>0</v>
      </c>
      <c r="Z22" s="153">
        <f t="shared" si="54"/>
        <v>0</v>
      </c>
      <c r="AA22" s="153">
        <f t="shared" si="54"/>
        <v>0</v>
      </c>
      <c r="AB22" s="153">
        <f t="shared" si="54"/>
        <v>0</v>
      </c>
      <c r="AC22" s="153">
        <f t="shared" si="54"/>
        <v>0</v>
      </c>
      <c r="AD22" s="153">
        <f t="shared" si="54"/>
        <v>101749.53918898963</v>
      </c>
      <c r="AE22" s="153">
        <f t="shared" si="54"/>
        <v>774.40059284213362</v>
      </c>
      <c r="AF22" s="153">
        <f t="shared" si="54"/>
        <v>5082.4918177822583</v>
      </c>
      <c r="AG22" s="153">
        <f t="shared" si="54"/>
        <v>772.60820787211037</v>
      </c>
      <c r="AH22" s="153">
        <f t="shared" si="54"/>
        <v>416.00690078115542</v>
      </c>
      <c r="AI22" s="153">
        <f t="shared" si="54"/>
        <v>2412.1168720014775</v>
      </c>
      <c r="AJ22" s="153">
        <f t="shared" si="54"/>
        <v>12374.605941922891</v>
      </c>
      <c r="AK22" s="153">
        <f t="shared" si="54"/>
        <v>20861.800728587601</v>
      </c>
      <c r="AL22" s="153">
        <f t="shared" si="54"/>
        <v>21628.489407200002</v>
      </c>
      <c r="AM22" s="153">
        <f t="shared" si="54"/>
        <v>16081.01872</v>
      </c>
      <c r="AN22" s="153">
        <f t="shared" si="54"/>
        <v>6515.6</v>
      </c>
      <c r="AO22" s="153">
        <f t="shared" si="54"/>
        <v>12282.4</v>
      </c>
      <c r="AP22" s="153">
        <f t="shared" si="54"/>
        <v>0</v>
      </c>
      <c r="AQ22" s="153">
        <f t="shared" si="54"/>
        <v>0</v>
      </c>
      <c r="AR22" s="153">
        <f t="shared" si="54"/>
        <v>0</v>
      </c>
      <c r="AS22" s="153">
        <f t="shared" si="54"/>
        <v>0</v>
      </c>
      <c r="AT22" s="153">
        <f t="shared" si="54"/>
        <v>0</v>
      </c>
      <c r="AU22" s="153">
        <f t="shared" si="54"/>
        <v>0</v>
      </c>
      <c r="AV22" s="153">
        <f t="shared" si="54"/>
        <v>0</v>
      </c>
      <c r="AW22" s="153">
        <f t="shared" si="54"/>
        <v>0</v>
      </c>
      <c r="AX22" s="153">
        <f t="shared" si="54"/>
        <v>0</v>
      </c>
      <c r="AY22" s="153">
        <f t="shared" si="54"/>
        <v>0</v>
      </c>
      <c r="AZ22" s="153">
        <f t="shared" si="54"/>
        <v>99201.539188989627</v>
      </c>
    </row>
    <row r="23" spans="1:53" s="138" customFormat="1" ht="15" customHeight="1" x14ac:dyDescent="0.25">
      <c r="A23" s="119"/>
      <c r="B23" s="152"/>
      <c r="C23" s="152"/>
      <c r="D23" s="152"/>
      <c r="E23" s="152"/>
      <c r="F23" s="152"/>
      <c r="G23" s="152"/>
      <c r="H23" s="152"/>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row>
    <row r="24" spans="1:53" s="138" customFormat="1" ht="15" customHeight="1" x14ac:dyDescent="0.25">
      <c r="A24" s="119"/>
      <c r="B24" s="152"/>
      <c r="C24" s="152"/>
      <c r="D24" s="152"/>
      <c r="E24" s="152"/>
      <c r="F24" s="152"/>
      <c r="G24" s="152"/>
      <c r="H24" s="152"/>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row>
    <row r="25" spans="1:53" ht="15" customHeight="1" x14ac:dyDescent="0.25">
      <c r="A25" s="155" t="s">
        <v>204</v>
      </c>
      <c r="B25" s="156"/>
      <c r="C25" s="156"/>
      <c r="D25" s="156"/>
      <c r="E25" s="156"/>
      <c r="F25" s="156"/>
      <c r="G25" s="156"/>
      <c r="H25" s="156"/>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0"/>
    </row>
    <row r="26" spans="1:53" s="138" customFormat="1" ht="15" customHeight="1" x14ac:dyDescent="0.25">
      <c r="A26" s="117" t="s">
        <v>159</v>
      </c>
      <c r="B26" s="152"/>
      <c r="C26" s="152"/>
      <c r="D26" s="152"/>
      <c r="E26" s="152"/>
      <c r="F26" s="152"/>
      <c r="G26" s="152"/>
      <c r="H26" s="152"/>
      <c r="I26" s="154">
        <f t="shared" ref="I26:R30" si="55">SUMIFS(I$4:I$21,$B$4:$B$21,"897-000 Drainage Facilities &amp; Network",$C$4:$C$21,$A26)</f>
        <v>757.75790980208558</v>
      </c>
      <c r="J26" s="154">
        <f t="shared" si="55"/>
        <v>476.16966726312313</v>
      </c>
      <c r="K26" s="154">
        <f t="shared" si="55"/>
        <v>-210.70177043906008</v>
      </c>
      <c r="L26" s="154">
        <f t="shared" si="55"/>
        <v>-0.18193882696530606</v>
      </c>
      <c r="M26" s="154">
        <f t="shared" si="55"/>
        <v>0</v>
      </c>
      <c r="N26" s="154">
        <f t="shared" si="55"/>
        <v>417.64492397118266</v>
      </c>
      <c r="O26" s="154">
        <f t="shared" si="55"/>
        <v>3687.2652951805526</v>
      </c>
      <c r="P26" s="154">
        <f t="shared" si="55"/>
        <v>15076.646062400001</v>
      </c>
      <c r="Q26" s="154">
        <f t="shared" si="55"/>
        <v>483.6</v>
      </c>
      <c r="R26" s="154">
        <f t="shared" si="55"/>
        <v>67.600000000000009</v>
      </c>
      <c r="S26" s="154">
        <f t="shared" ref="S26:AD30" si="56">SUMIFS(S$4:S$21,$B$4:$B$21,"897-000 Drainage Facilities &amp; Network",$C$4:$C$21,$A26)</f>
        <v>0</v>
      </c>
      <c r="T26" s="154">
        <f t="shared" si="56"/>
        <v>0</v>
      </c>
      <c r="U26" s="154">
        <f t="shared" si="56"/>
        <v>0</v>
      </c>
      <c r="V26" s="154">
        <f t="shared" si="56"/>
        <v>0</v>
      </c>
      <c r="W26" s="154">
        <f t="shared" si="56"/>
        <v>0</v>
      </c>
      <c r="X26" s="154">
        <f t="shared" si="56"/>
        <v>0</v>
      </c>
      <c r="Y26" s="154">
        <f t="shared" si="56"/>
        <v>0</v>
      </c>
      <c r="Z26" s="154">
        <f t="shared" si="56"/>
        <v>0</v>
      </c>
      <c r="AA26" s="154">
        <f t="shared" si="56"/>
        <v>0</v>
      </c>
      <c r="AB26" s="154">
        <f t="shared" si="56"/>
        <v>0</v>
      </c>
      <c r="AC26" s="154">
        <f t="shared" si="56"/>
        <v>0</v>
      </c>
      <c r="AD26" s="154">
        <f t="shared" si="56"/>
        <v>20755.800149350918</v>
      </c>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row>
    <row r="27" spans="1:53" s="138" customFormat="1" ht="15" customHeight="1" x14ac:dyDescent="0.25">
      <c r="A27" s="117" t="s">
        <v>158</v>
      </c>
      <c r="B27" s="152"/>
      <c r="C27" s="152"/>
      <c r="D27" s="152"/>
      <c r="E27" s="152"/>
      <c r="F27" s="152"/>
      <c r="G27" s="152"/>
      <c r="H27" s="152"/>
      <c r="I27" s="154">
        <f t="shared" si="55"/>
        <v>16.642683040047984</v>
      </c>
      <c r="J27" s="154">
        <f t="shared" si="55"/>
        <v>4606.322150519135</v>
      </c>
      <c r="K27" s="154">
        <f t="shared" si="55"/>
        <v>184.3099783111704</v>
      </c>
      <c r="L27" s="154">
        <f t="shared" si="55"/>
        <v>138.60817914459943</v>
      </c>
      <c r="M27" s="154">
        <f t="shared" si="55"/>
        <v>1353.2370613884834</v>
      </c>
      <c r="N27" s="154">
        <f t="shared" si="55"/>
        <v>3329.3232616613459</v>
      </c>
      <c r="O27" s="154">
        <f t="shared" si="55"/>
        <v>4946.7202338336529</v>
      </c>
      <c r="P27" s="154">
        <f t="shared" si="55"/>
        <v>1177.9238848</v>
      </c>
      <c r="Q27" s="154">
        <f t="shared" si="55"/>
        <v>0</v>
      </c>
      <c r="R27" s="154">
        <f t="shared" si="55"/>
        <v>0</v>
      </c>
      <c r="S27" s="154">
        <f t="shared" si="56"/>
        <v>0</v>
      </c>
      <c r="T27" s="154">
        <f t="shared" si="56"/>
        <v>0</v>
      </c>
      <c r="U27" s="154">
        <f t="shared" si="56"/>
        <v>0</v>
      </c>
      <c r="V27" s="154">
        <f t="shared" si="56"/>
        <v>0</v>
      </c>
      <c r="W27" s="154">
        <f t="shared" si="56"/>
        <v>0</v>
      </c>
      <c r="X27" s="154">
        <f t="shared" si="56"/>
        <v>0</v>
      </c>
      <c r="Y27" s="154">
        <f t="shared" si="56"/>
        <v>0</v>
      </c>
      <c r="Z27" s="154">
        <f t="shared" si="56"/>
        <v>0</v>
      </c>
      <c r="AA27" s="154">
        <f t="shared" si="56"/>
        <v>0</v>
      </c>
      <c r="AB27" s="154">
        <f t="shared" si="56"/>
        <v>0</v>
      </c>
      <c r="AC27" s="154">
        <f t="shared" si="56"/>
        <v>0</v>
      </c>
      <c r="AD27" s="154">
        <f t="shared" si="56"/>
        <v>15753.087432698436</v>
      </c>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row>
    <row r="28" spans="1:53" s="138" customFormat="1" ht="15" customHeight="1" x14ac:dyDescent="0.25">
      <c r="A28" s="117" t="s">
        <v>28</v>
      </c>
      <c r="B28" s="152"/>
      <c r="C28" s="152"/>
      <c r="D28" s="152"/>
      <c r="E28" s="152"/>
      <c r="F28" s="152"/>
      <c r="G28" s="152"/>
      <c r="H28" s="152"/>
      <c r="I28" s="154">
        <f t="shared" si="55"/>
        <v>0</v>
      </c>
      <c r="J28" s="154">
        <f t="shared" si="55"/>
        <v>0</v>
      </c>
      <c r="K28" s="154">
        <f t="shared" si="55"/>
        <v>799</v>
      </c>
      <c r="L28" s="154">
        <f t="shared" si="55"/>
        <v>0</v>
      </c>
      <c r="M28" s="154">
        <f t="shared" si="55"/>
        <v>0</v>
      </c>
      <c r="N28" s="154">
        <f t="shared" si="55"/>
        <v>0</v>
      </c>
      <c r="O28" s="154">
        <f t="shared" si="55"/>
        <v>0</v>
      </c>
      <c r="P28" s="154">
        <f t="shared" si="55"/>
        <v>731.64</v>
      </c>
      <c r="Q28" s="154">
        <f t="shared" si="55"/>
        <v>4180.8</v>
      </c>
      <c r="R28" s="154">
        <f t="shared" si="55"/>
        <v>4180.8</v>
      </c>
      <c r="S28" s="154">
        <f t="shared" si="56"/>
        <v>12230.4</v>
      </c>
      <c r="T28" s="154">
        <f t="shared" si="56"/>
        <v>0</v>
      </c>
      <c r="U28" s="154">
        <f t="shared" si="56"/>
        <v>0</v>
      </c>
      <c r="V28" s="154">
        <f t="shared" si="56"/>
        <v>0</v>
      </c>
      <c r="W28" s="154">
        <f t="shared" si="56"/>
        <v>0</v>
      </c>
      <c r="X28" s="154">
        <f t="shared" si="56"/>
        <v>0</v>
      </c>
      <c r="Y28" s="154">
        <f t="shared" si="56"/>
        <v>0</v>
      </c>
      <c r="Z28" s="154">
        <f t="shared" si="56"/>
        <v>0</v>
      </c>
      <c r="AA28" s="154">
        <f t="shared" si="56"/>
        <v>0</v>
      </c>
      <c r="AB28" s="154">
        <f t="shared" si="56"/>
        <v>0</v>
      </c>
      <c r="AC28" s="154">
        <f t="shared" si="56"/>
        <v>0</v>
      </c>
      <c r="AD28" s="154">
        <f t="shared" si="56"/>
        <v>22122.639999999999</v>
      </c>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row>
    <row r="29" spans="1:53" s="138" customFormat="1" ht="15" customHeight="1" x14ac:dyDescent="0.25">
      <c r="A29" s="117" t="s">
        <v>157</v>
      </c>
      <c r="B29" s="152"/>
      <c r="C29" s="152"/>
      <c r="D29" s="152"/>
      <c r="E29" s="152"/>
      <c r="F29" s="152"/>
      <c r="G29" s="152"/>
      <c r="H29" s="152"/>
      <c r="I29" s="154">
        <f t="shared" si="55"/>
        <v>0</v>
      </c>
      <c r="J29" s="154">
        <f t="shared" si="55"/>
        <v>0</v>
      </c>
      <c r="K29" s="154">
        <f t="shared" si="55"/>
        <v>0</v>
      </c>
      <c r="L29" s="154">
        <f t="shared" si="55"/>
        <v>0</v>
      </c>
      <c r="M29" s="154">
        <f t="shared" si="55"/>
        <v>133.26289443135144</v>
      </c>
      <c r="N29" s="154">
        <f t="shared" si="55"/>
        <v>816.15934643722403</v>
      </c>
      <c r="O29" s="154">
        <f t="shared" si="55"/>
        <v>3098.1528829447675</v>
      </c>
      <c r="P29" s="154">
        <f t="shared" si="55"/>
        <v>4993.0007400000004</v>
      </c>
      <c r="Q29" s="154">
        <f t="shared" si="55"/>
        <v>12480</v>
      </c>
      <c r="R29" s="154">
        <f t="shared" si="55"/>
        <v>3359.2000000000003</v>
      </c>
      <c r="S29" s="154">
        <f t="shared" si="56"/>
        <v>52</v>
      </c>
      <c r="T29" s="154">
        <f t="shared" si="56"/>
        <v>0</v>
      </c>
      <c r="U29" s="154">
        <f t="shared" si="56"/>
        <v>0</v>
      </c>
      <c r="V29" s="154">
        <f t="shared" si="56"/>
        <v>0</v>
      </c>
      <c r="W29" s="154">
        <f t="shared" si="56"/>
        <v>0</v>
      </c>
      <c r="X29" s="154">
        <f t="shared" si="56"/>
        <v>0</v>
      </c>
      <c r="Y29" s="154">
        <f t="shared" si="56"/>
        <v>0</v>
      </c>
      <c r="Z29" s="154">
        <f t="shared" si="56"/>
        <v>0</v>
      </c>
      <c r="AA29" s="154">
        <f t="shared" si="56"/>
        <v>0</v>
      </c>
      <c r="AB29" s="154">
        <f t="shared" si="56"/>
        <v>0</v>
      </c>
      <c r="AC29" s="154">
        <f t="shared" si="56"/>
        <v>0</v>
      </c>
      <c r="AD29" s="154">
        <f t="shared" si="56"/>
        <v>24931.775863813342</v>
      </c>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row>
    <row r="30" spans="1:53" s="138" customFormat="1" ht="15" customHeight="1" x14ac:dyDescent="0.25">
      <c r="A30" s="117" t="s">
        <v>155</v>
      </c>
      <c r="B30" s="152"/>
      <c r="C30" s="152"/>
      <c r="D30" s="152"/>
      <c r="E30" s="152"/>
      <c r="F30" s="152"/>
      <c r="G30" s="152"/>
      <c r="H30" s="152"/>
      <c r="I30" s="154">
        <f t="shared" si="55"/>
        <v>0</v>
      </c>
      <c r="J30" s="154">
        <f t="shared" si="55"/>
        <v>0</v>
      </c>
      <c r="K30" s="154">
        <f t="shared" si="55"/>
        <v>0</v>
      </c>
      <c r="L30" s="154">
        <f t="shared" si="55"/>
        <v>277.58066046352133</v>
      </c>
      <c r="M30" s="154">
        <f t="shared" si="55"/>
        <v>925.61691618164264</v>
      </c>
      <c r="N30" s="154">
        <f t="shared" si="55"/>
        <v>7811.4784098531381</v>
      </c>
      <c r="O30" s="154">
        <f t="shared" si="55"/>
        <v>9129.6623166286245</v>
      </c>
      <c r="P30" s="154">
        <f t="shared" si="55"/>
        <v>13.278720000000002</v>
      </c>
      <c r="Q30" s="154">
        <f t="shared" si="55"/>
        <v>28.618720000000003</v>
      </c>
      <c r="R30" s="154">
        <f t="shared" si="55"/>
        <v>0</v>
      </c>
      <c r="S30" s="154">
        <f t="shared" si="56"/>
        <v>0</v>
      </c>
      <c r="T30" s="154">
        <f t="shared" si="56"/>
        <v>0</v>
      </c>
      <c r="U30" s="154">
        <f t="shared" si="56"/>
        <v>0</v>
      </c>
      <c r="V30" s="154">
        <f t="shared" si="56"/>
        <v>0</v>
      </c>
      <c r="W30" s="154">
        <f t="shared" si="56"/>
        <v>0</v>
      </c>
      <c r="X30" s="154">
        <f t="shared" si="56"/>
        <v>0</v>
      </c>
      <c r="Y30" s="154">
        <f t="shared" si="56"/>
        <v>0</v>
      </c>
      <c r="Z30" s="154">
        <f t="shared" si="56"/>
        <v>0</v>
      </c>
      <c r="AA30" s="154">
        <f t="shared" si="56"/>
        <v>0</v>
      </c>
      <c r="AB30" s="154">
        <f t="shared" si="56"/>
        <v>0</v>
      </c>
      <c r="AC30" s="154">
        <f t="shared" si="56"/>
        <v>0</v>
      </c>
      <c r="AD30" s="154">
        <f t="shared" si="56"/>
        <v>18186.235743126927</v>
      </c>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row>
    <row r="31" spans="1:53" s="138" customFormat="1" ht="15" customHeight="1" x14ac:dyDescent="0.25">
      <c r="A31" s="119" t="s">
        <v>205</v>
      </c>
      <c r="B31" s="152"/>
      <c r="C31" s="152"/>
      <c r="D31" s="152"/>
      <c r="E31" s="152"/>
      <c r="F31" s="152"/>
      <c r="G31" s="152"/>
      <c r="H31" s="152"/>
      <c r="I31" s="153">
        <f>SUM(I26:I30)</f>
        <v>774.40059284213362</v>
      </c>
      <c r="J31" s="153">
        <f t="shared" ref="J31:AD31" si="57">SUM(J26:J30)</f>
        <v>5082.4918177822583</v>
      </c>
      <c r="K31" s="153">
        <f t="shared" si="57"/>
        <v>772.60820787211037</v>
      </c>
      <c r="L31" s="153">
        <f t="shared" si="57"/>
        <v>416.00690078115542</v>
      </c>
      <c r="M31" s="153">
        <f t="shared" si="57"/>
        <v>2412.1168720014775</v>
      </c>
      <c r="N31" s="153">
        <f t="shared" si="57"/>
        <v>12374.605941922891</v>
      </c>
      <c r="O31" s="153">
        <f t="shared" si="57"/>
        <v>20861.800728587597</v>
      </c>
      <c r="P31" s="153">
        <f t="shared" si="57"/>
        <v>21992.489407199999</v>
      </c>
      <c r="Q31" s="153">
        <f t="shared" si="57"/>
        <v>17173.01872</v>
      </c>
      <c r="R31" s="153">
        <f t="shared" si="57"/>
        <v>7607.6</v>
      </c>
      <c r="S31" s="153">
        <f t="shared" si="57"/>
        <v>12282.4</v>
      </c>
      <c r="T31" s="153">
        <f t="shared" si="57"/>
        <v>0</v>
      </c>
      <c r="U31" s="153">
        <f t="shared" si="57"/>
        <v>0</v>
      </c>
      <c r="V31" s="153">
        <f t="shared" si="57"/>
        <v>0</v>
      </c>
      <c r="W31" s="153">
        <f t="shared" si="57"/>
        <v>0</v>
      </c>
      <c r="X31" s="153">
        <f t="shared" si="57"/>
        <v>0</v>
      </c>
      <c r="Y31" s="153">
        <f t="shared" si="57"/>
        <v>0</v>
      </c>
      <c r="Z31" s="153">
        <f t="shared" si="57"/>
        <v>0</v>
      </c>
      <c r="AA31" s="153">
        <f t="shared" si="57"/>
        <v>0</v>
      </c>
      <c r="AB31" s="153">
        <f t="shared" si="57"/>
        <v>0</v>
      </c>
      <c r="AC31" s="153">
        <f t="shared" si="57"/>
        <v>0</v>
      </c>
      <c r="AD31" s="153">
        <f t="shared" si="57"/>
        <v>101749.53918898961</v>
      </c>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row>
    <row r="32" spans="1:53" s="138" customFormat="1" ht="15" customHeight="1" x14ac:dyDescent="0.25">
      <c r="A32" s="117"/>
      <c r="B32" s="152"/>
      <c r="C32" s="152"/>
      <c r="D32" s="152"/>
      <c r="E32" s="152"/>
      <c r="F32" s="152"/>
      <c r="G32" s="152"/>
      <c r="H32" s="152"/>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row>
    <row r="33" spans="1:53" ht="15" customHeight="1" x14ac:dyDescent="0.25">
      <c r="A33" s="117"/>
      <c r="B33" s="156"/>
      <c r="C33" s="156"/>
      <c r="D33" s="156"/>
      <c r="E33" s="156"/>
      <c r="F33" s="156"/>
      <c r="G33" s="156"/>
      <c r="H33" s="156"/>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0"/>
    </row>
    <row r="34" spans="1:53" ht="15" customHeight="1" x14ac:dyDescent="0.25">
      <c r="A34" s="155" t="s">
        <v>181</v>
      </c>
      <c r="B34" s="156"/>
      <c r="C34" s="156"/>
      <c r="D34" s="156"/>
      <c r="E34" s="156"/>
      <c r="F34" s="156"/>
      <c r="G34" s="156"/>
      <c r="H34" s="156"/>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0"/>
    </row>
    <row r="35" spans="1:53" s="143" customFormat="1" ht="15" customHeight="1" x14ac:dyDescent="0.25">
      <c r="A35" s="117" t="s">
        <v>159</v>
      </c>
      <c r="B35" s="152"/>
      <c r="C35" s="152"/>
      <c r="D35" s="152"/>
      <c r="E35" s="152"/>
      <c r="F35" s="152"/>
      <c r="G35" s="152"/>
      <c r="H35" s="152"/>
      <c r="I35" s="154">
        <f t="shared" ref="I35:R39" si="58">SUMIFS(AE$4:AE$21,$B$4:$B$21,"897-000 Drainage Facilities &amp; Network",$C$4:$C$21,$A35)</f>
        <v>757.75790980208558</v>
      </c>
      <c r="J35" s="154">
        <f t="shared" si="58"/>
        <v>476.16966726312313</v>
      </c>
      <c r="K35" s="154">
        <f t="shared" si="58"/>
        <v>-210.70177043906008</v>
      </c>
      <c r="L35" s="154">
        <f t="shared" si="58"/>
        <v>-0.18193882696530606</v>
      </c>
      <c r="M35" s="154">
        <f t="shared" si="58"/>
        <v>0</v>
      </c>
      <c r="N35" s="154">
        <f t="shared" si="58"/>
        <v>417.64492397118266</v>
      </c>
      <c r="O35" s="154">
        <f t="shared" si="58"/>
        <v>3687.2652951805526</v>
      </c>
      <c r="P35" s="154">
        <f t="shared" si="58"/>
        <v>15076.646062400001</v>
      </c>
      <c r="Q35" s="154">
        <f t="shared" si="58"/>
        <v>483.6</v>
      </c>
      <c r="R35" s="154">
        <f t="shared" si="58"/>
        <v>67.600000000000009</v>
      </c>
      <c r="S35" s="154">
        <f t="shared" ref="S35:AB39" si="59">SUMIFS(AO$4:AO$21,$B$4:$B$21,"897-000 Drainage Facilities &amp; Network",$C$4:$C$21,$A35)</f>
        <v>0</v>
      </c>
      <c r="T35" s="154">
        <f t="shared" si="59"/>
        <v>0</v>
      </c>
      <c r="U35" s="154">
        <f t="shared" si="59"/>
        <v>0</v>
      </c>
      <c r="V35" s="154">
        <f t="shared" si="59"/>
        <v>0</v>
      </c>
      <c r="W35" s="154">
        <f t="shared" si="59"/>
        <v>0</v>
      </c>
      <c r="X35" s="154">
        <f t="shared" si="59"/>
        <v>0</v>
      </c>
      <c r="Y35" s="154">
        <f t="shared" si="59"/>
        <v>0</v>
      </c>
      <c r="Z35" s="154">
        <f t="shared" si="59"/>
        <v>0</v>
      </c>
      <c r="AA35" s="154">
        <f t="shared" si="59"/>
        <v>0</v>
      </c>
      <c r="AB35" s="154">
        <f t="shared" si="59"/>
        <v>0</v>
      </c>
      <c r="AC35" s="154">
        <f t="shared" ref="AC35:AD39" si="60">SUMIFS(AY$4:AY$21,$B$4:$B$21,"897-000 Drainage Facilities &amp; Network",$C$4:$C$21,$A35)</f>
        <v>0</v>
      </c>
      <c r="AD35" s="154">
        <f t="shared" si="60"/>
        <v>20755.800149350918</v>
      </c>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row>
    <row r="36" spans="1:53" s="143" customFormat="1" ht="15" customHeight="1" x14ac:dyDescent="0.25">
      <c r="A36" s="117" t="s">
        <v>158</v>
      </c>
      <c r="B36" s="152"/>
      <c r="C36" s="152"/>
      <c r="D36" s="152"/>
      <c r="E36" s="152"/>
      <c r="F36" s="152"/>
      <c r="G36" s="152"/>
      <c r="H36" s="152"/>
      <c r="I36" s="154">
        <f t="shared" si="58"/>
        <v>16.642683040047984</v>
      </c>
      <c r="J36" s="154">
        <f t="shared" si="58"/>
        <v>4606.322150519135</v>
      </c>
      <c r="K36" s="154">
        <f t="shared" si="58"/>
        <v>184.3099783111704</v>
      </c>
      <c r="L36" s="154">
        <f t="shared" si="58"/>
        <v>138.60817914459943</v>
      </c>
      <c r="M36" s="154">
        <f t="shared" si="58"/>
        <v>1353.2370613884834</v>
      </c>
      <c r="N36" s="154">
        <f t="shared" si="58"/>
        <v>3329.3232616613459</v>
      </c>
      <c r="O36" s="154">
        <f t="shared" si="58"/>
        <v>4946.7202338336529</v>
      </c>
      <c r="P36" s="154">
        <f t="shared" si="58"/>
        <v>1177.9238848</v>
      </c>
      <c r="Q36" s="154">
        <f>SUMIFS(AM$4:AM$21,$B$4:$B$21,"897-000 Drainage Facilities &amp; Network",$C$4:$C$21,$A36)</f>
        <v>0</v>
      </c>
      <c r="R36" s="154">
        <f t="shared" si="58"/>
        <v>0</v>
      </c>
      <c r="S36" s="154">
        <f t="shared" si="59"/>
        <v>0</v>
      </c>
      <c r="T36" s="154">
        <f t="shared" si="59"/>
        <v>0</v>
      </c>
      <c r="U36" s="154">
        <f t="shared" si="59"/>
        <v>0</v>
      </c>
      <c r="V36" s="154">
        <f t="shared" si="59"/>
        <v>0</v>
      </c>
      <c r="W36" s="154">
        <f t="shared" si="59"/>
        <v>0</v>
      </c>
      <c r="X36" s="154">
        <f t="shared" si="59"/>
        <v>0</v>
      </c>
      <c r="Y36" s="154">
        <f t="shared" si="59"/>
        <v>0</v>
      </c>
      <c r="Z36" s="154">
        <f t="shared" si="59"/>
        <v>0</v>
      </c>
      <c r="AA36" s="154">
        <f t="shared" si="59"/>
        <v>0</v>
      </c>
      <c r="AB36" s="154">
        <f t="shared" si="59"/>
        <v>0</v>
      </c>
      <c r="AC36" s="154">
        <f t="shared" si="60"/>
        <v>0</v>
      </c>
      <c r="AD36" s="154">
        <f t="shared" si="60"/>
        <v>15753.087432698436</v>
      </c>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row>
    <row r="37" spans="1:53" s="143" customFormat="1" ht="15" customHeight="1" x14ac:dyDescent="0.25">
      <c r="A37" s="117" t="s">
        <v>28</v>
      </c>
      <c r="B37" s="152"/>
      <c r="C37" s="152"/>
      <c r="D37" s="152"/>
      <c r="E37" s="152"/>
      <c r="F37" s="152"/>
      <c r="G37" s="152"/>
      <c r="H37" s="152"/>
      <c r="I37" s="154">
        <f t="shared" si="58"/>
        <v>0</v>
      </c>
      <c r="J37" s="154">
        <f t="shared" si="58"/>
        <v>0</v>
      </c>
      <c r="K37" s="154">
        <f t="shared" si="58"/>
        <v>799</v>
      </c>
      <c r="L37" s="154">
        <f t="shared" si="58"/>
        <v>0</v>
      </c>
      <c r="M37" s="154">
        <f t="shared" si="58"/>
        <v>0</v>
      </c>
      <c r="N37" s="154">
        <f t="shared" si="58"/>
        <v>0</v>
      </c>
      <c r="O37" s="154">
        <f t="shared" si="58"/>
        <v>0</v>
      </c>
      <c r="P37" s="154">
        <f t="shared" si="58"/>
        <v>367.64</v>
      </c>
      <c r="Q37" s="154">
        <f t="shared" si="58"/>
        <v>3088.8</v>
      </c>
      <c r="R37" s="154">
        <f t="shared" si="58"/>
        <v>3088.8</v>
      </c>
      <c r="S37" s="154">
        <f t="shared" si="59"/>
        <v>12230.4</v>
      </c>
      <c r="T37" s="154">
        <f t="shared" si="59"/>
        <v>0</v>
      </c>
      <c r="U37" s="154">
        <f t="shared" si="59"/>
        <v>0</v>
      </c>
      <c r="V37" s="154">
        <f t="shared" si="59"/>
        <v>0</v>
      </c>
      <c r="W37" s="154">
        <f t="shared" si="59"/>
        <v>0</v>
      </c>
      <c r="X37" s="154">
        <f t="shared" si="59"/>
        <v>0</v>
      </c>
      <c r="Y37" s="154">
        <f t="shared" si="59"/>
        <v>0</v>
      </c>
      <c r="Z37" s="154">
        <f t="shared" si="59"/>
        <v>0</v>
      </c>
      <c r="AA37" s="154">
        <f t="shared" si="59"/>
        <v>0</v>
      </c>
      <c r="AB37" s="154">
        <f t="shared" si="59"/>
        <v>0</v>
      </c>
      <c r="AC37" s="154">
        <f t="shared" si="60"/>
        <v>0</v>
      </c>
      <c r="AD37" s="154">
        <f t="shared" si="60"/>
        <v>19574.64</v>
      </c>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row>
    <row r="38" spans="1:53" s="143" customFormat="1" ht="15" customHeight="1" x14ac:dyDescent="0.25">
      <c r="A38" s="117" t="s">
        <v>157</v>
      </c>
      <c r="B38" s="152"/>
      <c r="C38" s="152"/>
      <c r="D38" s="152"/>
      <c r="E38" s="152"/>
      <c r="F38" s="152"/>
      <c r="G38" s="152"/>
      <c r="H38" s="152"/>
      <c r="I38" s="154">
        <f t="shared" si="58"/>
        <v>0</v>
      </c>
      <c r="J38" s="154">
        <f t="shared" si="58"/>
        <v>0</v>
      </c>
      <c r="K38" s="154">
        <f t="shared" si="58"/>
        <v>0</v>
      </c>
      <c r="L38" s="154">
        <f t="shared" si="58"/>
        <v>0</v>
      </c>
      <c r="M38" s="154">
        <f t="shared" si="58"/>
        <v>133.26289443135144</v>
      </c>
      <c r="N38" s="154">
        <f t="shared" si="58"/>
        <v>816.15934643722403</v>
      </c>
      <c r="O38" s="154">
        <f t="shared" si="58"/>
        <v>3098.1528829447675</v>
      </c>
      <c r="P38" s="154">
        <f t="shared" si="58"/>
        <v>4993.0007400000004</v>
      </c>
      <c r="Q38" s="154">
        <f t="shared" si="58"/>
        <v>12480</v>
      </c>
      <c r="R38" s="154">
        <f t="shared" si="58"/>
        <v>3359.2000000000003</v>
      </c>
      <c r="S38" s="154">
        <f t="shared" si="59"/>
        <v>52</v>
      </c>
      <c r="T38" s="154">
        <f t="shared" si="59"/>
        <v>0</v>
      </c>
      <c r="U38" s="154">
        <f t="shared" si="59"/>
        <v>0</v>
      </c>
      <c r="V38" s="154">
        <f t="shared" si="59"/>
        <v>0</v>
      </c>
      <c r="W38" s="154">
        <f t="shared" si="59"/>
        <v>0</v>
      </c>
      <c r="X38" s="154">
        <f t="shared" si="59"/>
        <v>0</v>
      </c>
      <c r="Y38" s="154">
        <f t="shared" si="59"/>
        <v>0</v>
      </c>
      <c r="Z38" s="154">
        <f t="shared" si="59"/>
        <v>0</v>
      </c>
      <c r="AA38" s="154">
        <f t="shared" si="59"/>
        <v>0</v>
      </c>
      <c r="AB38" s="154">
        <f t="shared" si="59"/>
        <v>0</v>
      </c>
      <c r="AC38" s="154">
        <f t="shared" si="60"/>
        <v>0</v>
      </c>
      <c r="AD38" s="154">
        <f t="shared" si="60"/>
        <v>24931.775863813342</v>
      </c>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row>
    <row r="39" spans="1:53" s="143" customFormat="1" ht="15" customHeight="1" x14ac:dyDescent="0.25">
      <c r="A39" s="117" t="s">
        <v>155</v>
      </c>
      <c r="B39" s="152"/>
      <c r="C39" s="152"/>
      <c r="D39" s="152"/>
      <c r="E39" s="152"/>
      <c r="F39" s="152"/>
      <c r="G39" s="152"/>
      <c r="H39" s="152"/>
      <c r="I39" s="154">
        <f t="shared" si="58"/>
        <v>0</v>
      </c>
      <c r="J39" s="154">
        <f t="shared" si="58"/>
        <v>0</v>
      </c>
      <c r="K39" s="154">
        <f t="shared" si="58"/>
        <v>0</v>
      </c>
      <c r="L39" s="154">
        <f t="shared" si="58"/>
        <v>277.58066046352133</v>
      </c>
      <c r="M39" s="154">
        <f t="shared" si="58"/>
        <v>925.61691618164264</v>
      </c>
      <c r="N39" s="154">
        <f t="shared" si="58"/>
        <v>7811.4784098531381</v>
      </c>
      <c r="O39" s="154">
        <f t="shared" si="58"/>
        <v>9129.6623166286245</v>
      </c>
      <c r="P39" s="154">
        <f t="shared" si="58"/>
        <v>13.278720000000002</v>
      </c>
      <c r="Q39" s="154">
        <f t="shared" si="58"/>
        <v>28.618720000000003</v>
      </c>
      <c r="R39" s="154">
        <f t="shared" si="58"/>
        <v>0</v>
      </c>
      <c r="S39" s="154">
        <f t="shared" si="59"/>
        <v>0</v>
      </c>
      <c r="T39" s="154">
        <f t="shared" si="59"/>
        <v>0</v>
      </c>
      <c r="U39" s="154">
        <f t="shared" si="59"/>
        <v>0</v>
      </c>
      <c r="V39" s="154">
        <f t="shared" si="59"/>
        <v>0</v>
      </c>
      <c r="W39" s="154">
        <f t="shared" si="59"/>
        <v>0</v>
      </c>
      <c r="X39" s="154">
        <f t="shared" si="59"/>
        <v>0</v>
      </c>
      <c r="Y39" s="154">
        <f t="shared" si="59"/>
        <v>0</v>
      </c>
      <c r="Z39" s="154">
        <f t="shared" si="59"/>
        <v>0</v>
      </c>
      <c r="AA39" s="154">
        <f t="shared" si="59"/>
        <v>0</v>
      </c>
      <c r="AB39" s="154">
        <f t="shared" si="59"/>
        <v>0</v>
      </c>
      <c r="AC39" s="154">
        <f t="shared" si="60"/>
        <v>0</v>
      </c>
      <c r="AD39" s="154">
        <f t="shared" si="60"/>
        <v>18186.235743126927</v>
      </c>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row>
    <row r="40" spans="1:53" s="143" customFormat="1" ht="15" customHeight="1" x14ac:dyDescent="0.25">
      <c r="A40" s="119" t="s">
        <v>205</v>
      </c>
      <c r="B40" s="152"/>
      <c r="C40" s="152"/>
      <c r="D40" s="152"/>
      <c r="E40" s="152"/>
      <c r="F40" s="152"/>
      <c r="G40" s="152"/>
      <c r="H40" s="152"/>
      <c r="I40" s="153">
        <f>SUM(I35:I39)</f>
        <v>774.40059284213362</v>
      </c>
      <c r="J40" s="153">
        <f t="shared" ref="J40:AD40" si="61">SUM(J35:J39)</f>
        <v>5082.4918177822583</v>
      </c>
      <c r="K40" s="153">
        <f t="shared" si="61"/>
        <v>772.60820787211037</v>
      </c>
      <c r="L40" s="153">
        <f t="shared" si="61"/>
        <v>416.00690078115542</v>
      </c>
      <c r="M40" s="153">
        <f t="shared" si="61"/>
        <v>2412.1168720014775</v>
      </c>
      <c r="N40" s="153">
        <f t="shared" si="61"/>
        <v>12374.605941922891</v>
      </c>
      <c r="O40" s="153">
        <f t="shared" si="61"/>
        <v>20861.800728587597</v>
      </c>
      <c r="P40" s="153">
        <f t="shared" si="61"/>
        <v>21628.489407199999</v>
      </c>
      <c r="Q40" s="153">
        <f>SUM(Q35:Q39)</f>
        <v>16081.01872</v>
      </c>
      <c r="R40" s="153">
        <f t="shared" si="61"/>
        <v>6515.6</v>
      </c>
      <c r="S40" s="153">
        <f t="shared" si="61"/>
        <v>12282.4</v>
      </c>
      <c r="T40" s="153">
        <f t="shared" si="61"/>
        <v>0</v>
      </c>
      <c r="U40" s="153">
        <f t="shared" si="61"/>
        <v>0</v>
      </c>
      <c r="V40" s="153">
        <f t="shared" si="61"/>
        <v>0</v>
      </c>
      <c r="W40" s="153">
        <f t="shared" si="61"/>
        <v>0</v>
      </c>
      <c r="X40" s="153">
        <f t="shared" si="61"/>
        <v>0</v>
      </c>
      <c r="Y40" s="153">
        <f t="shared" si="61"/>
        <v>0</v>
      </c>
      <c r="Z40" s="153">
        <f t="shared" si="61"/>
        <v>0</v>
      </c>
      <c r="AA40" s="153">
        <f t="shared" si="61"/>
        <v>0</v>
      </c>
      <c r="AB40" s="153">
        <f t="shared" si="61"/>
        <v>0</v>
      </c>
      <c r="AC40" s="153">
        <f t="shared" si="61"/>
        <v>0</v>
      </c>
      <c r="AD40" s="153">
        <f t="shared" si="61"/>
        <v>99201.539188989613</v>
      </c>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row>
    <row r="41" spans="1:53" s="143" customFormat="1" ht="15" customHeight="1" x14ac:dyDescent="0.25">
      <c r="A41" s="119"/>
      <c r="B41" s="152"/>
      <c r="C41" s="152"/>
      <c r="D41" s="152"/>
      <c r="E41" s="152"/>
      <c r="F41" s="152"/>
      <c r="G41" s="152"/>
      <c r="H41" s="152"/>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row>
    <row r="42" spans="1:53" s="143" customFormat="1" ht="15" customHeight="1" x14ac:dyDescent="0.25">
      <c r="A42" s="119"/>
      <c r="B42" s="152"/>
      <c r="C42" s="152"/>
      <c r="D42" s="152"/>
      <c r="E42" s="152"/>
      <c r="F42" s="152"/>
      <c r="G42" s="152"/>
      <c r="H42" s="152"/>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row>
    <row r="43" spans="1:53" s="143" customFormat="1" ht="15" customHeight="1" x14ac:dyDescent="0.25">
      <c r="A43" s="119"/>
      <c r="B43" s="152"/>
      <c r="C43" s="152"/>
      <c r="D43" s="152"/>
      <c r="E43" s="152"/>
      <c r="F43" s="152"/>
      <c r="G43" s="152"/>
      <c r="H43" s="152"/>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row>
    <row r="44" spans="1:53" s="143" customFormat="1" ht="15" customHeight="1" x14ac:dyDescent="0.25">
      <c r="A44" s="119"/>
      <c r="B44" s="152"/>
      <c r="C44" s="152"/>
      <c r="D44" s="152"/>
      <c r="E44" s="152"/>
      <c r="F44" s="152"/>
      <c r="G44" s="152"/>
      <c r="H44" s="152"/>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row>
    <row r="45" spans="1:53" s="157" customFormat="1" ht="15" customHeight="1" x14ac:dyDescent="0.25">
      <c r="A45" s="150"/>
      <c r="B45" s="158"/>
      <c r="C45" s="158"/>
      <c r="D45" s="158"/>
      <c r="E45" s="158"/>
      <c r="F45" s="158"/>
      <c r="G45" s="158"/>
      <c r="H45" s="158"/>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row>
    <row r="46" spans="1:53" ht="15" customHeight="1" x14ac:dyDescent="0.25">
      <c r="B46" s="158"/>
      <c r="C46" s="158"/>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0"/>
    </row>
    <row r="47" spans="1:53" ht="15" customHeight="1" x14ac:dyDescent="0.25">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row>
  </sheetData>
  <sheetProtection autoFilter="0"/>
  <mergeCells count="8">
    <mergeCell ref="A4:A5"/>
    <mergeCell ref="B4:B5"/>
    <mergeCell ref="D4:H4"/>
    <mergeCell ref="J3:R3"/>
    <mergeCell ref="AF3:AN3"/>
    <mergeCell ref="C4:C5"/>
    <mergeCell ref="I4:AD4"/>
    <mergeCell ref="AE4:AZ4"/>
  </mergeCells>
  <pageMargins left="0.24" right="0.12" top="0.24" bottom="0.56000000000000005" header="0.3" footer="0.3"/>
  <pageSetup fitToHeight="4" orientation="landscape" r:id="rId1"/>
  <headerFooter>
    <oddFooter>&amp;L&amp;BThe City of Calgary Confidential&amp;B&amp;C&amp;D&amp;RPage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4091A-07CA-412D-8D97-296664E6FA93}">
  <sheetPr>
    <pageSetUpPr fitToPage="1"/>
  </sheetPr>
  <dimension ref="A1:BJ139"/>
  <sheetViews>
    <sheetView zoomScale="80" zoomScaleNormal="80" workbookViewId="0">
      <pane xSplit="2" ySplit="2" topLeftCell="S3" activePane="bottomRight" state="frozen"/>
      <selection pane="topRight" activeCell="X98" sqref="X98"/>
      <selection pane="bottomLeft" activeCell="X98" sqref="X98"/>
      <selection pane="bottomRight" sqref="A1:XFD1048576"/>
    </sheetView>
  </sheetViews>
  <sheetFormatPr defaultColWidth="9.21875" defaultRowHeight="13.2" outlineLevelRow="1" outlineLevelCol="1" x14ac:dyDescent="0.25"/>
  <cols>
    <col min="1" max="1" width="44.44140625" style="20" customWidth="1"/>
    <col min="2" max="2" width="12.77734375" style="21" customWidth="1"/>
    <col min="3" max="18" width="10.77734375" style="19" hidden="1" customWidth="1" outlineLevel="1"/>
    <col min="19" max="19" width="10.77734375" style="19" customWidth="1" collapsed="1"/>
    <col min="20" max="29" width="10.77734375" style="19" customWidth="1"/>
    <col min="30" max="61" width="10.77734375" style="19" customWidth="1" outlineLevel="1"/>
    <col min="62" max="16384" width="9.21875" style="19"/>
  </cols>
  <sheetData>
    <row r="1" spans="1:62" ht="15.6" x14ac:dyDescent="0.3">
      <c r="A1" s="110" t="s">
        <v>206</v>
      </c>
      <c r="B1" s="18" t="s">
        <v>186</v>
      </c>
      <c r="C1" s="18">
        <v>2000</v>
      </c>
      <c r="D1" s="18">
        <f>C1+1</f>
        <v>2001</v>
      </c>
      <c r="E1" s="18">
        <f t="shared" ref="E1:BI1" si="0">D1+1</f>
        <v>2002</v>
      </c>
      <c r="F1" s="18">
        <f t="shared" si="0"/>
        <v>2003</v>
      </c>
      <c r="G1" s="18">
        <f t="shared" si="0"/>
        <v>2004</v>
      </c>
      <c r="H1" s="18">
        <f>G1+1</f>
        <v>2005</v>
      </c>
      <c r="I1" s="18">
        <f t="shared" si="0"/>
        <v>2006</v>
      </c>
      <c r="J1" s="18">
        <f t="shared" si="0"/>
        <v>2007</v>
      </c>
      <c r="K1" s="18">
        <f t="shared" si="0"/>
        <v>2008</v>
      </c>
      <c r="L1" s="18">
        <f t="shared" si="0"/>
        <v>2009</v>
      </c>
      <c r="M1" s="18">
        <f t="shared" si="0"/>
        <v>2010</v>
      </c>
      <c r="N1" s="18">
        <f t="shared" si="0"/>
        <v>2011</v>
      </c>
      <c r="O1" s="18">
        <f t="shared" si="0"/>
        <v>2012</v>
      </c>
      <c r="P1" s="18">
        <f t="shared" si="0"/>
        <v>2013</v>
      </c>
      <c r="Q1" s="18">
        <f t="shared" si="0"/>
        <v>2014</v>
      </c>
      <c r="R1" s="18">
        <f t="shared" si="0"/>
        <v>2015</v>
      </c>
      <c r="S1" s="18">
        <f t="shared" si="0"/>
        <v>2016</v>
      </c>
      <c r="T1" s="18">
        <f t="shared" si="0"/>
        <v>2017</v>
      </c>
      <c r="U1" s="18">
        <f t="shared" si="0"/>
        <v>2018</v>
      </c>
      <c r="V1" s="18">
        <f t="shared" si="0"/>
        <v>2019</v>
      </c>
      <c r="W1" s="18">
        <f t="shared" si="0"/>
        <v>2020</v>
      </c>
      <c r="X1" s="18">
        <f t="shared" si="0"/>
        <v>2021</v>
      </c>
      <c r="Y1" s="18">
        <f t="shared" si="0"/>
        <v>2022</v>
      </c>
      <c r="Z1" s="18">
        <f t="shared" si="0"/>
        <v>2023</v>
      </c>
      <c r="AA1" s="18">
        <f t="shared" si="0"/>
        <v>2024</v>
      </c>
      <c r="AB1" s="18">
        <f t="shared" si="0"/>
        <v>2025</v>
      </c>
      <c r="AC1" s="18">
        <f t="shared" si="0"/>
        <v>2026</v>
      </c>
      <c r="AD1" s="18">
        <f t="shared" si="0"/>
        <v>2027</v>
      </c>
      <c r="AE1" s="18">
        <f t="shared" si="0"/>
        <v>2028</v>
      </c>
      <c r="AF1" s="18">
        <f t="shared" si="0"/>
        <v>2029</v>
      </c>
      <c r="AG1" s="18">
        <f t="shared" si="0"/>
        <v>2030</v>
      </c>
      <c r="AH1" s="18">
        <f t="shared" si="0"/>
        <v>2031</v>
      </c>
      <c r="AI1" s="18">
        <f t="shared" si="0"/>
        <v>2032</v>
      </c>
      <c r="AJ1" s="18">
        <f t="shared" si="0"/>
        <v>2033</v>
      </c>
      <c r="AK1" s="18">
        <f t="shared" si="0"/>
        <v>2034</v>
      </c>
      <c r="AL1" s="18">
        <f t="shared" si="0"/>
        <v>2035</v>
      </c>
      <c r="AM1" s="18">
        <f t="shared" si="0"/>
        <v>2036</v>
      </c>
      <c r="AN1" s="18">
        <f t="shared" si="0"/>
        <v>2037</v>
      </c>
      <c r="AO1" s="18">
        <f t="shared" si="0"/>
        <v>2038</v>
      </c>
      <c r="AP1" s="18">
        <f t="shared" si="0"/>
        <v>2039</v>
      </c>
      <c r="AQ1" s="18">
        <f t="shared" si="0"/>
        <v>2040</v>
      </c>
      <c r="AR1" s="18">
        <f t="shared" si="0"/>
        <v>2041</v>
      </c>
      <c r="AS1" s="18">
        <f t="shared" si="0"/>
        <v>2042</v>
      </c>
      <c r="AT1" s="18">
        <f t="shared" si="0"/>
        <v>2043</v>
      </c>
      <c r="AU1" s="18">
        <f t="shared" si="0"/>
        <v>2044</v>
      </c>
      <c r="AV1" s="18">
        <f t="shared" si="0"/>
        <v>2045</v>
      </c>
      <c r="AW1" s="18">
        <f t="shared" si="0"/>
        <v>2046</v>
      </c>
      <c r="AX1" s="18">
        <f t="shared" si="0"/>
        <v>2047</v>
      </c>
      <c r="AY1" s="18">
        <f t="shared" si="0"/>
        <v>2048</v>
      </c>
      <c r="AZ1" s="18">
        <f t="shared" si="0"/>
        <v>2049</v>
      </c>
      <c r="BA1" s="18">
        <f t="shared" si="0"/>
        <v>2050</v>
      </c>
      <c r="BB1" s="18">
        <f t="shared" si="0"/>
        <v>2051</v>
      </c>
      <c r="BC1" s="18">
        <f t="shared" si="0"/>
        <v>2052</v>
      </c>
      <c r="BD1" s="18">
        <f t="shared" si="0"/>
        <v>2053</v>
      </c>
      <c r="BE1" s="18">
        <f t="shared" si="0"/>
        <v>2054</v>
      </c>
      <c r="BF1" s="18">
        <f t="shared" si="0"/>
        <v>2055</v>
      </c>
      <c r="BG1" s="18">
        <f t="shared" si="0"/>
        <v>2056</v>
      </c>
      <c r="BH1" s="18">
        <f t="shared" si="0"/>
        <v>2057</v>
      </c>
      <c r="BI1" s="18">
        <f t="shared" si="0"/>
        <v>2058</v>
      </c>
      <c r="BJ1" s="111"/>
    </row>
    <row r="2" spans="1:62" ht="26.4" x14ac:dyDescent="0.25">
      <c r="A2" s="112" t="s">
        <v>207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62" ht="26.4" x14ac:dyDescent="0.25">
      <c r="A3" s="112" t="s">
        <v>208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62" x14ac:dyDescent="0.25">
      <c r="A4" s="113" t="s">
        <v>209</v>
      </c>
      <c r="B4" s="89">
        <f>SUM(C4:BB4)</f>
        <v>18027.924489999998</v>
      </c>
      <c r="C4" s="90"/>
      <c r="D4" s="90"/>
      <c r="E4" s="90"/>
      <c r="F4" s="90"/>
      <c r="G4" s="90"/>
      <c r="H4" s="90"/>
      <c r="I4" s="90"/>
      <c r="J4" s="90"/>
      <c r="K4" s="90"/>
      <c r="L4" s="90"/>
      <c r="M4" s="90"/>
      <c r="N4" s="90"/>
      <c r="O4" s="90"/>
      <c r="P4" s="90"/>
      <c r="Q4" s="90"/>
      <c r="R4" s="90"/>
      <c r="S4" s="90"/>
      <c r="T4" s="90"/>
      <c r="U4" s="90"/>
      <c r="V4" s="90">
        <v>194.52457999999999</v>
      </c>
      <c r="W4" s="90">
        <v>868.00699999999995</v>
      </c>
      <c r="X4" s="90">
        <v>2781.748</v>
      </c>
      <c r="Y4" s="90">
        <v>12885</v>
      </c>
      <c r="Z4" s="90">
        <v>1298.64491</v>
      </c>
      <c r="AA4" s="90"/>
      <c r="AB4" s="90"/>
      <c r="AC4" s="90"/>
      <c r="AD4" s="92"/>
      <c r="AE4" s="92"/>
      <c r="AF4" s="92"/>
      <c r="AG4" s="92"/>
      <c r="AH4" s="92"/>
      <c r="AI4" s="92"/>
      <c r="AJ4" s="92"/>
      <c r="AK4" s="92"/>
      <c r="AL4" s="92"/>
      <c r="AM4" s="92"/>
      <c r="AN4" s="92"/>
      <c r="AO4" s="92"/>
      <c r="AP4" s="92"/>
      <c r="AQ4" s="92"/>
      <c r="AR4" s="91"/>
      <c r="AS4" s="91"/>
      <c r="AT4" s="91"/>
    </row>
    <row r="5" spans="1:62" x14ac:dyDescent="0.25">
      <c r="A5" s="20" t="s">
        <v>210</v>
      </c>
      <c r="B5" s="89"/>
      <c r="C5" s="114"/>
      <c r="D5" s="114"/>
      <c r="E5" s="114"/>
      <c r="F5" s="114"/>
      <c r="G5" s="114"/>
      <c r="H5" s="114"/>
      <c r="I5" s="114"/>
      <c r="J5" s="114"/>
      <c r="K5" s="114"/>
      <c r="L5" s="114"/>
      <c r="M5" s="114"/>
      <c r="N5" s="114"/>
      <c r="O5" s="114"/>
      <c r="P5" s="114"/>
      <c r="Q5" s="114"/>
      <c r="R5" s="115"/>
      <c r="T5" s="115"/>
      <c r="U5" s="115"/>
      <c r="V5" s="116" t="s">
        <v>211</v>
      </c>
      <c r="W5" s="19" t="s">
        <v>212</v>
      </c>
      <c r="X5" s="19" t="s">
        <v>213</v>
      </c>
      <c r="Y5" s="19" t="s">
        <v>214</v>
      </c>
      <c r="Z5" s="116">
        <v>5.33E-2</v>
      </c>
      <c r="AD5" s="92"/>
      <c r="AE5" s="92"/>
      <c r="AF5" s="92"/>
      <c r="AG5" s="92"/>
      <c r="AH5" s="92"/>
      <c r="AI5" s="92"/>
      <c r="AJ5" s="92"/>
      <c r="AK5" s="92"/>
      <c r="AL5" s="92"/>
      <c r="AM5" s="92"/>
      <c r="AN5" s="92"/>
      <c r="AO5" s="92"/>
      <c r="AP5" s="92"/>
      <c r="AQ5" s="92"/>
      <c r="AR5" s="91"/>
      <c r="AS5" s="91"/>
      <c r="AT5" s="91"/>
    </row>
    <row r="6" spans="1:62" x14ac:dyDescent="0.25">
      <c r="A6" s="20" t="s">
        <v>215</v>
      </c>
      <c r="B6" s="89"/>
      <c r="C6" s="90"/>
      <c r="D6" s="90"/>
      <c r="E6" s="90"/>
      <c r="F6" s="90"/>
      <c r="G6" s="90"/>
      <c r="H6" s="90"/>
      <c r="I6" s="90"/>
      <c r="J6" s="90"/>
      <c r="K6" s="90"/>
      <c r="L6" s="90"/>
      <c r="M6" s="90"/>
      <c r="N6" s="90"/>
      <c r="O6" s="90"/>
      <c r="P6" s="90"/>
      <c r="Q6" s="90"/>
      <c r="R6" s="90"/>
      <c r="T6" s="90"/>
      <c r="U6" s="90"/>
      <c r="V6" s="19">
        <v>25</v>
      </c>
      <c r="W6" s="19">
        <v>25</v>
      </c>
      <c r="X6" s="19">
        <v>25</v>
      </c>
      <c r="Y6" s="19">
        <v>25</v>
      </c>
      <c r="Z6" s="19">
        <v>25</v>
      </c>
      <c r="AD6" s="92"/>
      <c r="AE6" s="92"/>
      <c r="AF6" s="92"/>
      <c r="AG6" s="92"/>
      <c r="AH6" s="92"/>
      <c r="AI6" s="92"/>
      <c r="AJ6" s="92"/>
      <c r="AK6" s="92"/>
      <c r="AL6" s="92"/>
      <c r="AM6" s="92"/>
      <c r="AN6" s="92"/>
      <c r="AO6" s="92"/>
      <c r="AP6" s="92"/>
      <c r="AQ6" s="92"/>
      <c r="AR6" s="91"/>
      <c r="AS6" s="91"/>
      <c r="AT6" s="91"/>
    </row>
    <row r="7" spans="1:62" x14ac:dyDescent="0.25">
      <c r="B7" s="89"/>
      <c r="C7" s="90"/>
      <c r="D7" s="90"/>
      <c r="E7" s="90"/>
      <c r="F7" s="90"/>
      <c r="G7" s="90"/>
      <c r="H7" s="90"/>
      <c r="I7" s="90"/>
      <c r="J7" s="90"/>
      <c r="K7" s="90"/>
      <c r="L7" s="90"/>
      <c r="M7" s="90"/>
      <c r="N7" s="90"/>
      <c r="O7" s="90"/>
      <c r="P7" s="90"/>
      <c r="Q7" s="90"/>
      <c r="R7" s="93"/>
      <c r="S7" s="93"/>
      <c r="T7" s="93"/>
      <c r="U7" s="93"/>
      <c r="V7" s="93"/>
      <c r="W7" s="93"/>
      <c r="X7" s="93"/>
      <c r="Y7" s="93"/>
      <c r="Z7" s="93"/>
      <c r="AA7" s="93"/>
      <c r="AB7" s="93"/>
      <c r="AC7" s="93"/>
      <c r="AD7" s="92"/>
      <c r="AE7" s="92"/>
      <c r="AF7" s="92"/>
      <c r="AG7" s="92"/>
      <c r="AH7" s="92"/>
      <c r="AI7" s="92"/>
      <c r="AJ7" s="92"/>
      <c r="AK7" s="92"/>
      <c r="AL7" s="92"/>
      <c r="AM7" s="92"/>
      <c r="AN7" s="92"/>
      <c r="AO7" s="92"/>
      <c r="AP7" s="92"/>
      <c r="AQ7" s="92"/>
      <c r="AR7" s="91"/>
      <c r="AS7" s="91"/>
      <c r="AT7" s="91"/>
    </row>
    <row r="8" spans="1:62" x14ac:dyDescent="0.25">
      <c r="A8" s="113" t="s">
        <v>216</v>
      </c>
      <c r="B8" s="89">
        <f>SUM(C8:BB8)</f>
        <v>158.31125312692672</v>
      </c>
      <c r="C8" s="90"/>
      <c r="D8" s="90"/>
      <c r="E8" s="90"/>
      <c r="F8" s="90"/>
      <c r="G8" s="90"/>
      <c r="H8" s="90"/>
      <c r="I8" s="90"/>
      <c r="J8" s="90"/>
      <c r="K8" s="90"/>
      <c r="L8" s="90"/>
      <c r="M8" s="90"/>
      <c r="N8" s="90"/>
      <c r="O8" s="90"/>
      <c r="P8" s="90"/>
      <c r="Q8" s="90"/>
      <c r="R8" s="90"/>
      <c r="S8" s="90"/>
      <c r="T8" s="90"/>
      <c r="U8" s="90"/>
      <c r="V8" s="90"/>
      <c r="W8" s="90"/>
      <c r="X8" s="90"/>
      <c r="Y8" s="90"/>
      <c r="Z8" s="90">
        <f>SUM('Tab 5 - Capital'!I39:P39)-SUM('Tab 6 - Bow'!S4:Z4)</f>
        <v>129.69253312692672</v>
      </c>
      <c r="AA8" s="90">
        <f>'Tab 5 - Capital'!Q39</f>
        <v>28.618720000000003</v>
      </c>
      <c r="AB8" s="90">
        <f>'Tab 5 - Capital'!R39</f>
        <v>0</v>
      </c>
      <c r="AC8" s="90">
        <f>'Tab 5 - Capital'!S39</f>
        <v>0</v>
      </c>
      <c r="AD8" s="90">
        <f>'Tab 5 - Capital'!T39</f>
        <v>0</v>
      </c>
      <c r="AE8" s="90">
        <f>'Tab 5 - Capital'!U39</f>
        <v>0</v>
      </c>
      <c r="AF8" s="90">
        <f>'Tab 5 - Capital'!V39</f>
        <v>0</v>
      </c>
      <c r="AG8" s="90">
        <f>'Tab 5 - Capital'!W39</f>
        <v>0</v>
      </c>
      <c r="AH8" s="90">
        <f>'Tab 5 - Capital'!X39</f>
        <v>0</v>
      </c>
      <c r="AI8" s="90">
        <f>'Tab 5 - Capital'!Y39</f>
        <v>0</v>
      </c>
      <c r="AJ8" s="90">
        <f>'Tab 5 - Capital'!Z39</f>
        <v>0</v>
      </c>
      <c r="AK8" s="90"/>
      <c r="AL8" s="90"/>
      <c r="AM8" s="90"/>
      <c r="AN8" s="90"/>
      <c r="AO8" s="90"/>
      <c r="AP8" s="90"/>
      <c r="AQ8" s="90"/>
      <c r="AR8" s="91"/>
      <c r="AS8" s="91"/>
      <c r="AT8" s="91"/>
    </row>
    <row r="9" spans="1:62" x14ac:dyDescent="0.25">
      <c r="A9" s="20" t="str">
        <f>A5</f>
        <v>Interest Rate</v>
      </c>
      <c r="B9" s="89"/>
      <c r="C9" s="90"/>
      <c r="D9" s="90"/>
      <c r="E9" s="90"/>
      <c r="F9" s="90"/>
      <c r="G9" s="90"/>
      <c r="H9" s="90"/>
      <c r="I9" s="90"/>
      <c r="J9" s="90"/>
      <c r="K9" s="90"/>
      <c r="L9" s="90"/>
      <c r="M9" s="90"/>
      <c r="N9" s="90"/>
      <c r="O9" s="90"/>
      <c r="P9" s="90"/>
      <c r="Q9" s="90"/>
      <c r="R9" s="94"/>
      <c r="S9" s="94"/>
      <c r="T9" s="94"/>
      <c r="U9" s="94"/>
      <c r="V9" s="94"/>
      <c r="W9" s="94"/>
      <c r="X9" s="94"/>
      <c r="Y9" s="94"/>
      <c r="Z9" s="94">
        <f>'Tab 8 - Shepard'!Z9</f>
        <v>5.4950666666666662E-2</v>
      </c>
      <c r="AA9" s="94">
        <f>'Tab 8 - Shepard'!AA9</f>
        <v>5.1029714285714275E-2</v>
      </c>
      <c r="AB9" s="94">
        <f>'Tab 8 - Shepard'!AB9</f>
        <v>5.1126714285714282E-2</v>
      </c>
      <c r="AC9" s="94">
        <f>'Tab 8 - Shepard'!AC9</f>
        <v>5.1888714285714281E-2</v>
      </c>
      <c r="AD9" s="94">
        <f>'Tab 8 - Shepard'!AD9</f>
        <v>5.3080714285714287E-2</v>
      </c>
      <c r="AE9" s="94">
        <f>'Tab 8 - Shepard'!AE9</f>
        <v>5.4233714285714281E-2</v>
      </c>
      <c r="AF9" s="94">
        <f>'Tab 8 - Shepard'!AF9</f>
        <v>5.5004714285714275E-2</v>
      </c>
      <c r="AG9" s="94">
        <f>'Tab 8 - Shepard'!AG9</f>
        <v>5.5750714285714278E-2</v>
      </c>
      <c r="AH9" s="94">
        <f>'Tab 8 - Shepard'!AH9</f>
        <v>5.6173714285714278E-2</v>
      </c>
      <c r="AI9" s="94">
        <f>'Tab 8 - Shepard'!AI9</f>
        <v>5.6544714285714288E-2</v>
      </c>
      <c r="AJ9" s="91"/>
      <c r="AK9" s="91"/>
      <c r="AL9" s="91"/>
      <c r="AM9" s="91"/>
      <c r="AN9" s="91"/>
      <c r="AO9" s="91"/>
      <c r="AP9" s="91"/>
      <c r="AQ9" s="91"/>
      <c r="AR9" s="91"/>
      <c r="AS9" s="91"/>
      <c r="AT9" s="91"/>
    </row>
    <row r="10" spans="1:62" x14ac:dyDescent="0.25">
      <c r="A10" s="20" t="str">
        <f>A6</f>
        <v>Term (in years)</v>
      </c>
      <c r="B10" s="89"/>
      <c r="C10" s="90"/>
      <c r="D10" s="90"/>
      <c r="E10" s="90"/>
      <c r="F10" s="90"/>
      <c r="G10" s="90"/>
      <c r="H10" s="90"/>
      <c r="I10" s="90"/>
      <c r="J10" s="90"/>
      <c r="K10" s="90"/>
      <c r="L10" s="90"/>
      <c r="M10" s="90"/>
      <c r="N10" s="90"/>
      <c r="O10" s="90"/>
      <c r="P10" s="90"/>
      <c r="Q10" s="90"/>
      <c r="R10" s="93"/>
      <c r="S10" s="93"/>
      <c r="T10" s="93"/>
      <c r="U10" s="93"/>
      <c r="V10" s="93"/>
      <c r="W10" s="93"/>
      <c r="X10" s="93"/>
      <c r="Y10" s="93"/>
      <c r="Z10" s="93">
        <v>25</v>
      </c>
      <c r="AA10" s="93">
        <v>15</v>
      </c>
      <c r="AB10" s="93">
        <v>15</v>
      </c>
      <c r="AC10" s="93">
        <v>15</v>
      </c>
      <c r="AD10" s="93">
        <v>15</v>
      </c>
      <c r="AE10" s="93">
        <v>15</v>
      </c>
      <c r="AF10" s="93">
        <v>15</v>
      </c>
      <c r="AG10" s="93">
        <v>15</v>
      </c>
      <c r="AH10" s="93">
        <v>15</v>
      </c>
      <c r="AI10" s="93">
        <v>15</v>
      </c>
      <c r="AJ10" s="91"/>
      <c r="AK10" s="91"/>
      <c r="AL10" s="91"/>
      <c r="AM10" s="91"/>
      <c r="AN10" s="91"/>
      <c r="AO10" s="91"/>
      <c r="AP10" s="91"/>
      <c r="AQ10" s="91"/>
      <c r="AR10" s="91"/>
      <c r="AS10" s="91"/>
      <c r="AT10" s="91"/>
    </row>
    <row r="11" spans="1:62" x14ac:dyDescent="0.25">
      <c r="B11" s="89"/>
      <c r="C11" s="90"/>
      <c r="D11" s="90"/>
      <c r="E11" s="90"/>
      <c r="F11" s="90"/>
      <c r="G11" s="90"/>
      <c r="H11" s="90"/>
      <c r="I11" s="90"/>
      <c r="J11" s="90"/>
      <c r="K11" s="90"/>
      <c r="L11" s="90"/>
      <c r="M11" s="90"/>
      <c r="N11" s="90"/>
      <c r="O11" s="90"/>
      <c r="P11" s="90"/>
      <c r="Q11" s="90"/>
      <c r="R11" s="93"/>
      <c r="S11" s="93"/>
      <c r="T11" s="93"/>
      <c r="U11" s="93"/>
      <c r="V11" s="93"/>
      <c r="W11" s="93"/>
      <c r="X11" s="93"/>
      <c r="Y11" s="93"/>
      <c r="Z11" s="93"/>
      <c r="AA11" s="93"/>
      <c r="AB11" s="93"/>
      <c r="AC11" s="93"/>
      <c r="AD11" s="91"/>
      <c r="AE11" s="91"/>
      <c r="AF11" s="91"/>
      <c r="AG11" s="91"/>
      <c r="AH11" s="91"/>
      <c r="AI11" s="91"/>
      <c r="AJ11" s="91"/>
      <c r="AK11" s="91"/>
      <c r="AL11" s="91"/>
      <c r="AM11" s="91"/>
      <c r="AN11" s="91"/>
      <c r="AO11" s="91"/>
      <c r="AP11" s="91"/>
      <c r="AQ11" s="91"/>
      <c r="AR11" s="91"/>
      <c r="AS11" s="91"/>
      <c r="AT11" s="91"/>
    </row>
    <row r="12" spans="1:62" x14ac:dyDescent="0.25">
      <c r="B12" s="89"/>
      <c r="C12" s="90"/>
      <c r="D12" s="90"/>
      <c r="E12" s="90"/>
      <c r="F12" s="90"/>
      <c r="G12" s="90"/>
      <c r="H12" s="90"/>
      <c r="I12" s="90"/>
      <c r="J12" s="90"/>
      <c r="K12" s="90"/>
      <c r="L12" s="90"/>
      <c r="M12" s="90"/>
      <c r="N12" s="90"/>
      <c r="O12" s="90"/>
      <c r="P12" s="90"/>
      <c r="Q12" s="90"/>
      <c r="R12" s="91"/>
      <c r="S12" s="93"/>
      <c r="T12" s="93"/>
      <c r="U12" s="93"/>
      <c r="V12" s="93"/>
      <c r="W12" s="93"/>
      <c r="X12" s="93"/>
      <c r="Y12" s="93"/>
      <c r="Z12" s="93"/>
      <c r="AA12" s="93"/>
      <c r="AB12" s="93"/>
      <c r="AC12" s="93"/>
      <c r="AD12" s="91"/>
      <c r="AE12" s="91"/>
      <c r="AF12" s="91"/>
      <c r="AG12" s="91"/>
      <c r="AH12" s="91"/>
      <c r="AI12" s="91"/>
      <c r="AJ12" s="91"/>
      <c r="AK12" s="91"/>
      <c r="AL12" s="91"/>
      <c r="AM12" s="91"/>
      <c r="AN12" s="91"/>
      <c r="AO12" s="91"/>
      <c r="AP12" s="91"/>
      <c r="AQ12" s="91"/>
      <c r="AR12" s="91"/>
      <c r="AS12" s="91"/>
      <c r="AT12" s="91"/>
    </row>
    <row r="13" spans="1:62" s="91" customFormat="1" hidden="1" outlineLevel="1" x14ac:dyDescent="0.25">
      <c r="A13" s="95" t="s">
        <v>217</v>
      </c>
      <c r="B13" s="101">
        <f>SUM(C13:BB13)</f>
        <v>16729.598906504641</v>
      </c>
      <c r="C13" s="99"/>
      <c r="D13" s="99"/>
      <c r="E13" s="99"/>
      <c r="F13" s="99"/>
      <c r="G13" s="99"/>
      <c r="H13" s="105"/>
      <c r="I13" s="105"/>
      <c r="J13" s="105"/>
      <c r="K13" s="105"/>
      <c r="L13" s="105"/>
      <c r="M13" s="98"/>
      <c r="N13" s="98"/>
      <c r="O13" s="98"/>
      <c r="P13" s="98"/>
      <c r="Q13" s="98"/>
      <c r="R13" s="99"/>
      <c r="S13" s="99"/>
      <c r="T13" s="99"/>
      <c r="U13" s="99"/>
      <c r="V13" s="99">
        <v>1.0677149059603921</v>
      </c>
      <c r="W13" s="99">
        <v>6.7096498694590849</v>
      </c>
      <c r="X13" s="99">
        <v>40.05147069669443</v>
      </c>
      <c r="Y13" s="99">
        <v>165.66224967770845</v>
      </c>
      <c r="Z13" s="99">
        <v>392.17751276085693</v>
      </c>
      <c r="AA13" s="99">
        <v>408.71894396688981</v>
      </c>
      <c r="AB13" s="99">
        <v>425.99615855717519</v>
      </c>
      <c r="AC13" s="99">
        <v>444.0432063593521</v>
      </c>
      <c r="AD13" s="99">
        <v>462.89573026296455</v>
      </c>
      <c r="AE13" s="99">
        <v>482.59109300006111</v>
      </c>
      <c r="AF13" s="99">
        <v>503.16840082856834</v>
      </c>
      <c r="AG13" s="99">
        <v>524.66868598538508</v>
      </c>
      <c r="AH13" s="99">
        <v>547.13484602402093</v>
      </c>
      <c r="AI13" s="99">
        <v>570.61189735815015</v>
      </c>
      <c r="AJ13" s="99">
        <v>595.14698614323538</v>
      </c>
      <c r="AK13" s="99">
        <v>620.78954141725001</v>
      </c>
      <c r="AL13" s="99">
        <v>647.59133318317504</v>
      </c>
      <c r="AM13" s="99">
        <v>675.60660771514495</v>
      </c>
      <c r="AN13" s="99">
        <v>704.89226733582689</v>
      </c>
      <c r="AO13" s="99">
        <v>735.50787893273946</v>
      </c>
      <c r="AP13" s="99">
        <v>767.51588328340279</v>
      </c>
      <c r="AQ13" s="99">
        <v>800.98178634044734</v>
      </c>
      <c r="AR13" s="99">
        <v>835.97417507846512</v>
      </c>
      <c r="AS13" s="99">
        <v>872.56501053043655</v>
      </c>
      <c r="AT13" s="99">
        <v>910.82964925019689</v>
      </c>
      <c r="AU13" s="99">
        <v>948.52494420793244</v>
      </c>
      <c r="AV13" s="99">
        <v>979.47442017532205</v>
      </c>
      <c r="AW13" s="99">
        <v>964.71044938128898</v>
      </c>
      <c r="AX13" s="99">
        <v>693.9904132765289</v>
      </c>
      <c r="AY13" s="99"/>
      <c r="AZ13" s="99"/>
      <c r="BA13" s="99"/>
    </row>
    <row r="14" spans="1:62" s="91" customFormat="1" hidden="1" outlineLevel="1" x14ac:dyDescent="0.25">
      <c r="A14" s="95" t="s">
        <v>218</v>
      </c>
      <c r="B14" s="101">
        <f>SUM(C14:BB14)</f>
        <v>10823.408384328226</v>
      </c>
      <c r="C14" s="99"/>
      <c r="D14" s="99"/>
      <c r="E14" s="99"/>
      <c r="F14" s="99"/>
      <c r="G14" s="99"/>
      <c r="H14" s="105"/>
      <c r="I14" s="105"/>
      <c r="J14" s="105"/>
      <c r="K14" s="105"/>
      <c r="L14" s="105"/>
      <c r="M14" s="98"/>
      <c r="N14" s="98"/>
      <c r="O14" s="98"/>
      <c r="P14" s="98"/>
      <c r="Q14" s="98"/>
      <c r="R14" s="99"/>
      <c r="S14" s="99"/>
      <c r="T14" s="99"/>
      <c r="U14" s="99"/>
      <c r="V14" s="99">
        <v>2.1128611464333336</v>
      </c>
      <c r="W14" s="99">
        <v>10.710023137832557</v>
      </c>
      <c r="X14" s="99">
        <v>35.538935050424456</v>
      </c>
      <c r="Y14" s="99">
        <v>376.73999940090982</v>
      </c>
      <c r="Z14" s="99">
        <v>706.19349120410573</v>
      </c>
      <c r="AA14" s="99">
        <v>689.48046904522607</v>
      </c>
      <c r="AB14" s="99">
        <v>672.02356031577983</v>
      </c>
      <c r="AC14" s="99">
        <v>653.78831662194284</v>
      </c>
      <c r="AD14" s="99">
        <v>634.73869061969003</v>
      </c>
      <c r="AE14" s="99">
        <v>614.83690171538001</v>
      </c>
      <c r="AF14" s="99">
        <v>594.04336339802285</v>
      </c>
      <c r="AG14" s="99">
        <v>572.31660286110241</v>
      </c>
      <c r="AH14" s="99">
        <v>549.61318541754349</v>
      </c>
      <c r="AI14" s="99">
        <v>525.88764913733553</v>
      </c>
      <c r="AJ14" s="99">
        <v>501.09220223255056</v>
      </c>
      <c r="AK14" s="99">
        <v>475.17690601354502</v>
      </c>
      <c r="AL14" s="99">
        <v>448.08938498927995</v>
      </c>
      <c r="AM14" s="99">
        <v>419.77471146145785</v>
      </c>
      <c r="AN14" s="99">
        <v>390.17539557785312</v>
      </c>
      <c r="AO14" s="99">
        <v>359.23112099644396</v>
      </c>
      <c r="AP14" s="99">
        <v>326.87871946413503</v>
      </c>
      <c r="AQ14" s="99">
        <v>293.05194634943336</v>
      </c>
      <c r="AR14" s="99">
        <v>257.68140355223716</v>
      </c>
      <c r="AS14" s="99">
        <v>220.69426704527726</v>
      </c>
      <c r="AT14" s="99">
        <v>182.01432150653375</v>
      </c>
      <c r="AU14" s="99">
        <v>141.58305008080302</v>
      </c>
      <c r="AV14" s="99">
        <v>99.468187927287886</v>
      </c>
      <c r="AW14" s="99">
        <v>56.072447989030813</v>
      </c>
      <c r="AX14" s="99">
        <v>14.400270070627609</v>
      </c>
      <c r="AY14" s="99"/>
      <c r="AZ14" s="99"/>
      <c r="BA14" s="99"/>
    </row>
    <row r="15" spans="1:62" s="92" customFormat="1" hidden="1" outlineLevel="1" x14ac:dyDescent="0.25">
      <c r="A15" s="100"/>
      <c r="B15" s="96"/>
      <c r="C15" s="96"/>
      <c r="D15" s="96"/>
      <c r="E15" s="96"/>
      <c r="F15" s="96"/>
      <c r="G15" s="96"/>
      <c r="H15" s="97"/>
      <c r="I15" s="97"/>
      <c r="J15" s="97"/>
      <c r="K15" s="97"/>
      <c r="L15" s="97"/>
      <c r="M15" s="98"/>
      <c r="N15" s="98"/>
      <c r="O15" s="98"/>
      <c r="P15" s="98"/>
      <c r="Q15" s="98"/>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62" s="92" customFormat="1" hidden="1" outlineLevel="1" x14ac:dyDescent="0.25">
      <c r="A16" s="95" t="s">
        <v>219</v>
      </c>
      <c r="B16" s="101">
        <f>SUM(C16:BC16)</f>
        <v>1298.64491</v>
      </c>
      <c r="C16" s="96"/>
      <c r="D16" s="96"/>
      <c r="E16" s="96"/>
      <c r="F16" s="96"/>
      <c r="G16" s="96"/>
      <c r="H16" s="97"/>
      <c r="I16" s="97"/>
      <c r="J16" s="97"/>
      <c r="K16" s="97"/>
      <c r="L16" s="97"/>
      <c r="M16" s="98"/>
      <c r="N16" s="98"/>
      <c r="O16" s="98"/>
      <c r="P16" s="98"/>
      <c r="Q16" s="98"/>
      <c r="R16" s="96"/>
      <c r="S16" s="96"/>
      <c r="T16" s="96"/>
      <c r="U16" s="96"/>
      <c r="V16" s="96"/>
      <c r="W16" s="96"/>
      <c r="X16" s="99"/>
      <c r="Y16" s="96"/>
      <c r="Z16" s="96">
        <f>Z4</f>
        <v>1298.64491</v>
      </c>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row>
    <row r="17" spans="1:61" s="92" customFormat="1" hidden="1" outlineLevel="1" x14ac:dyDescent="0.25">
      <c r="A17" s="16" t="s">
        <v>163</v>
      </c>
      <c r="B17" s="101">
        <f>SUM(C17:BC17)</f>
        <v>1298.64491</v>
      </c>
      <c r="C17" s="96"/>
      <c r="D17" s="96"/>
      <c r="E17" s="96"/>
      <c r="F17" s="96"/>
      <c r="G17" s="96"/>
      <c r="H17" s="97"/>
      <c r="I17" s="97"/>
      <c r="J17" s="97"/>
      <c r="K17" s="97"/>
      <c r="L17" s="97"/>
      <c r="M17" s="98"/>
      <c r="N17" s="98"/>
      <c r="O17" s="98"/>
      <c r="P17" s="98"/>
      <c r="Q17" s="98"/>
      <c r="R17" s="96"/>
      <c r="S17" s="96"/>
      <c r="T17" s="96"/>
      <c r="U17" s="96"/>
      <c r="V17" s="96"/>
      <c r="W17" s="96"/>
      <c r="X17" s="99"/>
      <c r="Y17" s="99"/>
      <c r="Z17" s="99">
        <v>12.700735927235565</v>
      </c>
      <c r="AA17" s="99">
        <v>26.425916361147959</v>
      </c>
      <c r="AB17" s="99">
        <v>27.853183580060126</v>
      </c>
      <c r="AC17" s="99">
        <v>29.357542313227455</v>
      </c>
      <c r="AD17" s="99">
        <v>30.943148224361934</v>
      </c>
      <c r="AE17" s="99">
        <v>32.614396944169805</v>
      </c>
      <c r="AF17" s="99">
        <v>34.375904308363779</v>
      </c>
      <c r="AG17" s="99">
        <v>36.232557174203016</v>
      </c>
      <c r="AH17" s="99">
        <v>38.189485189082021</v>
      </c>
      <c r="AI17" s="99">
        <v>40.252108783929479</v>
      </c>
      <c r="AJ17" s="99">
        <v>42.426133526926073</v>
      </c>
      <c r="AK17" s="99">
        <v>44.717578354915524</v>
      </c>
      <c r="AL17" s="99">
        <v>47.132784042827979</v>
      </c>
      <c r="AM17" s="99">
        <v>49.678438611949936</v>
      </c>
      <c r="AN17" s="99">
        <v>52.361580153065368</v>
      </c>
      <c r="AO17" s="99">
        <v>55.189639173572374</v>
      </c>
      <c r="AP17" s="99">
        <v>58.170447066906455</v>
      </c>
      <c r="AQ17" s="99">
        <v>61.31224458196391</v>
      </c>
      <c r="AR17" s="99">
        <v>64.623732639641744</v>
      </c>
      <c r="AS17" s="99">
        <v>68.114075155978753</v>
      </c>
      <c r="AT17" s="99">
        <v>71.792932919848923</v>
      </c>
      <c r="AU17" s="99">
        <v>75.670483354949113</v>
      </c>
      <c r="AV17" s="99">
        <v>79.757462866915645</v>
      </c>
      <c r="AW17" s="99">
        <v>84.065180959029988</v>
      </c>
      <c r="AX17" s="96">
        <v>88.605559756194182</v>
      </c>
      <c r="AY17" s="96">
        <v>46.081658029532868</v>
      </c>
      <c r="AZ17" s="96"/>
      <c r="BA17" s="96"/>
      <c r="BB17" s="96"/>
      <c r="BC17" s="96"/>
      <c r="BD17" s="96"/>
      <c r="BE17" s="96"/>
      <c r="BF17" s="96"/>
      <c r="BG17" s="96"/>
      <c r="BH17" s="96"/>
      <c r="BI17" s="96"/>
    </row>
    <row r="18" spans="1:61" s="92" customFormat="1" hidden="1" outlineLevel="1" x14ac:dyDescent="0.25">
      <c r="A18" s="16" t="s">
        <v>164</v>
      </c>
      <c r="B18" s="101">
        <f>SUM(C18:BC18)</f>
        <v>1066.8363390392813</v>
      </c>
      <c r="C18" s="96"/>
      <c r="D18" s="96"/>
      <c r="E18" s="96"/>
      <c r="F18" s="96"/>
      <c r="G18" s="96"/>
      <c r="H18" s="97"/>
      <c r="I18" s="97"/>
      <c r="J18" s="97"/>
      <c r="K18" s="97"/>
      <c r="L18" s="97"/>
      <c r="M18" s="98"/>
      <c r="N18" s="98"/>
      <c r="O18" s="98"/>
      <c r="P18" s="98"/>
      <c r="Q18" s="98"/>
      <c r="R18" s="96"/>
      <c r="S18" s="96"/>
      <c r="T18" s="96"/>
      <c r="U18" s="96"/>
      <c r="V18" s="96"/>
      <c r="W18" s="96"/>
      <c r="X18" s="99"/>
      <c r="Y18" s="99"/>
      <c r="Z18" s="99">
        <v>54.868190680654067</v>
      </c>
      <c r="AA18" s="99">
        <v>67.777006223306032</v>
      </c>
      <c r="AB18" s="99">
        <v>66.327249862322006</v>
      </c>
      <c r="AC18" s="99">
        <v>64.799193682688284</v>
      </c>
      <c r="AD18" s="99">
        <v>63.188605795882957</v>
      </c>
      <c r="AE18" s="99">
        <v>61.491028462095386</v>
      </c>
      <c r="AF18" s="99">
        <v>59.701766797661818</v>
      </c>
      <c r="AG18" s="99">
        <v>57.815866189936493</v>
      </c>
      <c r="AH18" s="99">
        <v>55.828106651009428</v>
      </c>
      <c r="AI18" s="99">
        <v>53.732988702000888</v>
      </c>
      <c r="AJ18" s="99">
        <v>51.524713611073601</v>
      </c>
      <c r="AK18" s="99">
        <v>49.197166454586146</v>
      </c>
      <c r="AL18" s="99">
        <v>46.74391047081069</v>
      </c>
      <c r="AM18" s="99">
        <v>44.158153182239715</v>
      </c>
      <c r="AN18" s="99">
        <v>41.432737926162673</v>
      </c>
      <c r="AO18" s="99">
        <v>38.560124092678237</v>
      </c>
      <c r="AP18" s="99">
        <v>35.532358893283217</v>
      </c>
      <c r="AQ18" s="99">
        <v>32.34106042202589</v>
      </c>
      <c r="AR18" s="99">
        <v>28.977403539800477</v>
      </c>
      <c r="AS18" s="99">
        <v>25.432071880948282</v>
      </c>
      <c r="AT18" s="99">
        <v>21.695257853257697</v>
      </c>
      <c r="AU18" s="99">
        <v>17.756617467706455</v>
      </c>
      <c r="AV18" s="99">
        <v>13.605250576473891</v>
      </c>
      <c r="AW18" s="99">
        <v>9.2296669952476087</v>
      </c>
      <c r="AX18" s="96">
        <v>4.6177554486713044</v>
      </c>
      <c r="AY18" s="96">
        <v>0.50208717675819559</v>
      </c>
      <c r="AZ18" s="96"/>
      <c r="BA18" s="96"/>
      <c r="BB18" s="96"/>
      <c r="BC18" s="96"/>
      <c r="BD18" s="96"/>
      <c r="BE18" s="96"/>
      <c r="BF18" s="96"/>
      <c r="BG18" s="96"/>
      <c r="BH18" s="96"/>
      <c r="BI18" s="96"/>
    </row>
    <row r="19" spans="1:61" s="92" customFormat="1" hidden="1" outlineLevel="1" x14ac:dyDescent="0.25">
      <c r="A19" s="16" t="s">
        <v>220</v>
      </c>
      <c r="B19" s="101">
        <f>SUM(C19:BC19)</f>
        <v>2365.4812490392815</v>
      </c>
      <c r="C19" s="96"/>
      <c r="D19" s="96"/>
      <c r="E19" s="96"/>
      <c r="F19" s="96"/>
      <c r="G19" s="96"/>
      <c r="H19" s="97"/>
      <c r="I19" s="97"/>
      <c r="J19" s="97"/>
      <c r="K19" s="97"/>
      <c r="L19" s="97"/>
      <c r="M19" s="98"/>
      <c r="N19" s="98"/>
      <c r="O19" s="98"/>
      <c r="P19" s="98"/>
      <c r="Q19" s="98"/>
      <c r="R19" s="96"/>
      <c r="S19" s="96"/>
      <c r="T19" s="96"/>
      <c r="U19" s="96"/>
      <c r="V19" s="96"/>
      <c r="W19" s="96"/>
      <c r="X19" s="99"/>
      <c r="Y19" s="99"/>
      <c r="Z19" s="99">
        <f t="shared" ref="Z19:AX19" si="1">Z17+Z18</f>
        <v>67.568926607889637</v>
      </c>
      <c r="AA19" s="99">
        <f t="shared" si="1"/>
        <v>94.202922584453987</v>
      </c>
      <c r="AB19" s="99">
        <f t="shared" si="1"/>
        <v>94.180433442382139</v>
      </c>
      <c r="AC19" s="99">
        <f t="shared" si="1"/>
        <v>94.156735995915739</v>
      </c>
      <c r="AD19" s="99">
        <f t="shared" si="1"/>
        <v>94.131754020244898</v>
      </c>
      <c r="AE19" s="99">
        <f t="shared" si="1"/>
        <v>94.105425406265198</v>
      </c>
      <c r="AF19" s="99">
        <f t="shared" si="1"/>
        <v>94.077671106025605</v>
      </c>
      <c r="AG19" s="99">
        <f t="shared" si="1"/>
        <v>94.048423364139509</v>
      </c>
      <c r="AH19" s="99">
        <f t="shared" si="1"/>
        <v>94.017591840091455</v>
      </c>
      <c r="AI19" s="99">
        <f t="shared" si="1"/>
        <v>93.985097485930368</v>
      </c>
      <c r="AJ19" s="99">
        <f t="shared" si="1"/>
        <v>93.950847137999673</v>
      </c>
      <c r="AK19" s="99">
        <f t="shared" si="1"/>
        <v>93.91474480950167</v>
      </c>
      <c r="AL19" s="99">
        <f t="shared" si="1"/>
        <v>93.876694513638668</v>
      </c>
      <c r="AM19" s="99">
        <f t="shared" si="1"/>
        <v>93.836591794189644</v>
      </c>
      <c r="AN19" s="99">
        <f t="shared" si="1"/>
        <v>93.794318079228049</v>
      </c>
      <c r="AO19" s="99">
        <f t="shared" si="1"/>
        <v>93.749763266250611</v>
      </c>
      <c r="AP19" s="99">
        <f t="shared" si="1"/>
        <v>93.702805960189664</v>
      </c>
      <c r="AQ19" s="99">
        <f t="shared" si="1"/>
        <v>93.6533050039898</v>
      </c>
      <c r="AR19" s="99">
        <f t="shared" si="1"/>
        <v>93.601136179442221</v>
      </c>
      <c r="AS19" s="99">
        <f t="shared" si="1"/>
        <v>93.546147036927039</v>
      </c>
      <c r="AT19" s="99">
        <f t="shared" si="1"/>
        <v>93.488190773106624</v>
      </c>
      <c r="AU19" s="99">
        <f t="shared" si="1"/>
        <v>93.427100822655575</v>
      </c>
      <c r="AV19" s="99">
        <f t="shared" si="1"/>
        <v>93.362713443389538</v>
      </c>
      <c r="AW19" s="99">
        <f t="shared" si="1"/>
        <v>93.2948479542776</v>
      </c>
      <c r="AX19" s="99">
        <f t="shared" si="1"/>
        <v>93.223315204865486</v>
      </c>
      <c r="AY19" s="99">
        <f t="shared" ref="AY19" si="2">AY17+AY18</f>
        <v>46.583745206291063</v>
      </c>
      <c r="AZ19" s="96"/>
      <c r="BA19" s="96"/>
      <c r="BB19" s="96"/>
      <c r="BC19" s="96"/>
      <c r="BD19" s="96"/>
      <c r="BE19" s="96"/>
      <c r="BF19" s="96"/>
      <c r="BG19" s="96"/>
      <c r="BH19" s="96"/>
      <c r="BI19" s="96"/>
    </row>
    <row r="20" spans="1:61" s="92" customFormat="1" hidden="1" outlineLevel="1" x14ac:dyDescent="0.25">
      <c r="A20" s="16" t="s">
        <v>16</v>
      </c>
      <c r="B20" s="101"/>
      <c r="C20" s="96"/>
      <c r="D20" s="96"/>
      <c r="E20" s="96"/>
      <c r="F20" s="96"/>
      <c r="G20" s="96"/>
      <c r="H20" s="97"/>
      <c r="I20" s="97"/>
      <c r="J20" s="97"/>
      <c r="K20" s="97"/>
      <c r="L20" s="97"/>
      <c r="M20" s="98"/>
      <c r="N20" s="98"/>
      <c r="O20" s="98"/>
      <c r="P20" s="98"/>
      <c r="Q20" s="98"/>
      <c r="R20" s="96"/>
      <c r="S20" s="96"/>
      <c r="T20" s="96"/>
      <c r="U20" s="96"/>
      <c r="V20" s="96"/>
      <c r="W20" s="96"/>
      <c r="X20" s="99"/>
      <c r="Y20" s="99"/>
      <c r="Z20" s="99">
        <f>Z16-Z17</f>
        <v>1285.9441740727643</v>
      </c>
      <c r="AA20" s="99">
        <f t="shared" ref="AA20:AY20" si="3">Z20-AA17</f>
        <v>1259.5182577116163</v>
      </c>
      <c r="AB20" s="99">
        <f t="shared" si="3"/>
        <v>1231.6650741315561</v>
      </c>
      <c r="AC20" s="99">
        <f t="shared" si="3"/>
        <v>1202.3075318183287</v>
      </c>
      <c r="AD20" s="99">
        <f t="shared" si="3"/>
        <v>1171.3643835939667</v>
      </c>
      <c r="AE20" s="99">
        <f t="shared" si="3"/>
        <v>1138.7499866497969</v>
      </c>
      <c r="AF20" s="99">
        <f t="shared" si="3"/>
        <v>1104.3740823414332</v>
      </c>
      <c r="AG20" s="99">
        <f t="shared" si="3"/>
        <v>1068.1415251672302</v>
      </c>
      <c r="AH20" s="99">
        <f t="shared" si="3"/>
        <v>1029.9520399781482</v>
      </c>
      <c r="AI20" s="99">
        <f t="shared" si="3"/>
        <v>989.69993119421872</v>
      </c>
      <c r="AJ20" s="99">
        <f t="shared" si="3"/>
        <v>947.27379766729268</v>
      </c>
      <c r="AK20" s="99">
        <f t="shared" si="3"/>
        <v>902.55621931237715</v>
      </c>
      <c r="AL20" s="99">
        <f t="shared" si="3"/>
        <v>855.42343526954915</v>
      </c>
      <c r="AM20" s="99">
        <f t="shared" si="3"/>
        <v>805.74499665759924</v>
      </c>
      <c r="AN20" s="99">
        <f t="shared" si="3"/>
        <v>753.3834165045339</v>
      </c>
      <c r="AO20" s="99">
        <f t="shared" si="3"/>
        <v>698.19377733096155</v>
      </c>
      <c r="AP20" s="99">
        <f t="shared" si="3"/>
        <v>640.02333026405506</v>
      </c>
      <c r="AQ20" s="99">
        <f t="shared" si="3"/>
        <v>578.71108568209115</v>
      </c>
      <c r="AR20" s="99">
        <f t="shared" si="3"/>
        <v>514.08735304244942</v>
      </c>
      <c r="AS20" s="99">
        <f t="shared" si="3"/>
        <v>445.97327788647067</v>
      </c>
      <c r="AT20" s="99">
        <f t="shared" si="3"/>
        <v>374.18034496662176</v>
      </c>
      <c r="AU20" s="99">
        <f t="shared" si="3"/>
        <v>298.50986161167265</v>
      </c>
      <c r="AV20" s="99">
        <f t="shared" si="3"/>
        <v>218.75239874475699</v>
      </c>
      <c r="AW20" s="99">
        <f t="shared" si="3"/>
        <v>134.687217785727</v>
      </c>
      <c r="AX20" s="99">
        <f t="shared" si="3"/>
        <v>46.081658029532818</v>
      </c>
      <c r="AY20" s="99">
        <f t="shared" si="3"/>
        <v>0</v>
      </c>
      <c r="AZ20" s="96"/>
      <c r="BA20" s="96"/>
      <c r="BB20" s="96"/>
      <c r="BC20" s="96"/>
      <c r="BD20" s="96"/>
      <c r="BE20" s="96"/>
      <c r="BF20" s="96"/>
      <c r="BG20" s="96"/>
      <c r="BH20" s="96"/>
      <c r="BI20" s="96"/>
    </row>
    <row r="21" spans="1:61" s="92" customFormat="1" hidden="1" outlineLevel="1" x14ac:dyDescent="0.25">
      <c r="A21" s="100"/>
      <c r="B21" s="101"/>
      <c r="C21" s="96"/>
      <c r="D21" s="96"/>
      <c r="E21" s="96"/>
      <c r="F21" s="96"/>
      <c r="G21" s="96"/>
      <c r="H21" s="97"/>
      <c r="I21" s="97"/>
      <c r="J21" s="97"/>
      <c r="K21" s="97"/>
      <c r="L21" s="97"/>
      <c r="M21" s="98"/>
      <c r="N21" s="98"/>
      <c r="O21" s="98"/>
      <c r="P21" s="98"/>
      <c r="Q21" s="98"/>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row>
    <row r="22" spans="1:61" collapsed="1" x14ac:dyDescent="0.25">
      <c r="A22" s="21" t="s">
        <v>221</v>
      </c>
      <c r="B22" s="101">
        <f>SUM(C22:BB22)</f>
        <v>0</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row>
    <row r="23" spans="1:61" x14ac:dyDescent="0.25">
      <c r="A23" s="20" t="s">
        <v>222</v>
      </c>
      <c r="B23" s="101">
        <f>SUM(C23:BB23)</f>
        <v>18027.924489999998</v>
      </c>
      <c r="C23" s="102">
        <f t="shared" ref="C23:AC23" si="4">C4</f>
        <v>0</v>
      </c>
      <c r="D23" s="102">
        <f t="shared" si="4"/>
        <v>0</v>
      </c>
      <c r="E23" s="102">
        <f t="shared" si="4"/>
        <v>0</v>
      </c>
      <c r="F23" s="102">
        <f t="shared" si="4"/>
        <v>0</v>
      </c>
      <c r="G23" s="102">
        <f t="shared" si="4"/>
        <v>0</v>
      </c>
      <c r="H23" s="102">
        <f t="shared" si="4"/>
        <v>0</v>
      </c>
      <c r="I23" s="102">
        <f t="shared" si="4"/>
        <v>0</v>
      </c>
      <c r="J23" s="102">
        <f t="shared" si="4"/>
        <v>0</v>
      </c>
      <c r="K23" s="102">
        <f t="shared" si="4"/>
        <v>0</v>
      </c>
      <c r="L23" s="102">
        <f t="shared" si="4"/>
        <v>0</v>
      </c>
      <c r="M23" s="102">
        <f t="shared" si="4"/>
        <v>0</v>
      </c>
      <c r="N23" s="102">
        <f t="shared" si="4"/>
        <v>0</v>
      </c>
      <c r="O23" s="102">
        <f t="shared" si="4"/>
        <v>0</v>
      </c>
      <c r="P23" s="102">
        <f t="shared" si="4"/>
        <v>0</v>
      </c>
      <c r="Q23" s="102">
        <f t="shared" si="4"/>
        <v>0</v>
      </c>
      <c r="R23" s="102">
        <f t="shared" si="4"/>
        <v>0</v>
      </c>
      <c r="S23" s="102">
        <f t="shared" si="4"/>
        <v>0</v>
      </c>
      <c r="T23" s="102">
        <f t="shared" si="4"/>
        <v>0</v>
      </c>
      <c r="U23" s="102">
        <f t="shared" si="4"/>
        <v>0</v>
      </c>
      <c r="V23" s="102">
        <f t="shared" si="4"/>
        <v>194.52457999999999</v>
      </c>
      <c r="W23" s="102">
        <f t="shared" si="4"/>
        <v>868.00699999999995</v>
      </c>
      <c r="X23" s="102">
        <f t="shared" si="4"/>
        <v>2781.748</v>
      </c>
      <c r="Y23" s="102">
        <f t="shared" si="4"/>
        <v>12885</v>
      </c>
      <c r="Z23" s="102">
        <f>Z4</f>
        <v>1298.64491</v>
      </c>
      <c r="AA23" s="102">
        <f t="shared" si="4"/>
        <v>0</v>
      </c>
      <c r="AB23" s="102">
        <f t="shared" si="4"/>
        <v>0</v>
      </c>
      <c r="AC23" s="102">
        <f t="shared" si="4"/>
        <v>0</v>
      </c>
      <c r="AD23" s="102">
        <f t="shared" ref="AD23:BD23" si="5">+AD4</f>
        <v>0</v>
      </c>
      <c r="AE23" s="102">
        <f t="shared" si="5"/>
        <v>0</v>
      </c>
      <c r="AF23" s="102">
        <f t="shared" si="5"/>
        <v>0</v>
      </c>
      <c r="AG23" s="102">
        <f t="shared" si="5"/>
        <v>0</v>
      </c>
      <c r="AH23" s="102">
        <f t="shared" si="5"/>
        <v>0</v>
      </c>
      <c r="AI23" s="102">
        <f t="shared" si="5"/>
        <v>0</v>
      </c>
      <c r="AJ23" s="102">
        <f t="shared" si="5"/>
        <v>0</v>
      </c>
      <c r="AK23" s="102">
        <f t="shared" si="5"/>
        <v>0</v>
      </c>
      <c r="AL23" s="102">
        <f t="shared" si="5"/>
        <v>0</v>
      </c>
      <c r="AM23" s="102">
        <f t="shared" si="5"/>
        <v>0</v>
      </c>
      <c r="AN23" s="102">
        <f t="shared" si="5"/>
        <v>0</v>
      </c>
      <c r="AO23" s="102">
        <f t="shared" si="5"/>
        <v>0</v>
      </c>
      <c r="AP23" s="102">
        <f t="shared" si="5"/>
        <v>0</v>
      </c>
      <c r="AQ23" s="102">
        <f t="shared" si="5"/>
        <v>0</v>
      </c>
      <c r="AR23" s="102">
        <f t="shared" si="5"/>
        <v>0</v>
      </c>
      <c r="AS23" s="102">
        <f t="shared" si="5"/>
        <v>0</v>
      </c>
      <c r="AT23" s="102">
        <f t="shared" si="5"/>
        <v>0</v>
      </c>
      <c r="AU23" s="102">
        <f t="shared" si="5"/>
        <v>0</v>
      </c>
      <c r="AV23" s="102">
        <f t="shared" si="5"/>
        <v>0</v>
      </c>
      <c r="AW23" s="102">
        <f t="shared" si="5"/>
        <v>0</v>
      </c>
      <c r="AX23" s="102">
        <f t="shared" si="5"/>
        <v>0</v>
      </c>
      <c r="AY23" s="102">
        <f t="shared" si="5"/>
        <v>0</v>
      </c>
      <c r="AZ23" s="102">
        <f t="shared" si="5"/>
        <v>0</v>
      </c>
      <c r="BA23" s="102">
        <f t="shared" si="5"/>
        <v>0</v>
      </c>
      <c r="BB23" s="102">
        <f t="shared" si="5"/>
        <v>0</v>
      </c>
      <c r="BC23" s="102">
        <f t="shared" si="5"/>
        <v>0</v>
      </c>
      <c r="BD23" s="102">
        <f t="shared" si="5"/>
        <v>0</v>
      </c>
      <c r="BE23" s="102"/>
      <c r="BF23" s="102"/>
      <c r="BG23" s="102"/>
      <c r="BH23" s="102"/>
      <c r="BI23" s="102"/>
    </row>
    <row r="24" spans="1:61" s="17" customFormat="1" x14ac:dyDescent="0.25">
      <c r="A24" s="16" t="s">
        <v>223</v>
      </c>
      <c r="B24" s="101">
        <f>SUM(C24:BB24)</f>
        <v>18028.243816504637</v>
      </c>
      <c r="C24" s="102">
        <f t="shared" ref="C24:Y25" si="6">+C17+C13</f>
        <v>0</v>
      </c>
      <c r="D24" s="102">
        <f t="shared" si="6"/>
        <v>0</v>
      </c>
      <c r="E24" s="102">
        <f t="shared" si="6"/>
        <v>0</v>
      </c>
      <c r="F24" s="102">
        <f t="shared" si="6"/>
        <v>0</v>
      </c>
      <c r="G24" s="102">
        <f t="shared" si="6"/>
        <v>0</v>
      </c>
      <c r="H24" s="102">
        <f t="shared" si="6"/>
        <v>0</v>
      </c>
      <c r="I24" s="102">
        <f>+I17+I13</f>
        <v>0</v>
      </c>
      <c r="J24" s="102">
        <f t="shared" si="6"/>
        <v>0</v>
      </c>
      <c r="K24" s="102">
        <f t="shared" si="6"/>
        <v>0</v>
      </c>
      <c r="L24" s="102">
        <f t="shared" si="6"/>
        <v>0</v>
      </c>
      <c r="M24" s="102">
        <f t="shared" si="6"/>
        <v>0</v>
      </c>
      <c r="N24" s="102">
        <f t="shared" si="6"/>
        <v>0</v>
      </c>
      <c r="O24" s="102">
        <f t="shared" si="6"/>
        <v>0</v>
      </c>
      <c r="P24" s="102">
        <f t="shared" si="6"/>
        <v>0</v>
      </c>
      <c r="Q24" s="102">
        <f t="shared" si="6"/>
        <v>0</v>
      </c>
      <c r="R24" s="102">
        <f t="shared" si="6"/>
        <v>0</v>
      </c>
      <c r="S24" s="102">
        <f t="shared" si="6"/>
        <v>0</v>
      </c>
      <c r="T24" s="102">
        <f t="shared" si="6"/>
        <v>0</v>
      </c>
      <c r="U24" s="102">
        <f t="shared" si="6"/>
        <v>0</v>
      </c>
      <c r="V24" s="102">
        <f t="shared" si="6"/>
        <v>1.0677149059603921</v>
      </c>
      <c r="W24" s="102">
        <f t="shared" si="6"/>
        <v>6.7096498694590849</v>
      </c>
      <c r="X24" s="102">
        <f t="shared" si="6"/>
        <v>40.05147069669443</v>
      </c>
      <c r="Y24" s="102">
        <f t="shared" si="6"/>
        <v>165.66224967770845</v>
      </c>
      <c r="Z24" s="102">
        <f t="shared" ref="Z24:BD24" si="7">+Z17+Z13</f>
        <v>404.87824868809247</v>
      </c>
      <c r="AA24" s="102">
        <f t="shared" si="7"/>
        <v>435.14486032803779</v>
      </c>
      <c r="AB24" s="102">
        <f t="shared" si="7"/>
        <v>453.84934213723534</v>
      </c>
      <c r="AC24" s="102">
        <f t="shared" si="7"/>
        <v>473.40074867257954</v>
      </c>
      <c r="AD24" s="102">
        <f t="shared" si="7"/>
        <v>493.8388784873265</v>
      </c>
      <c r="AE24" s="102">
        <f t="shared" si="7"/>
        <v>515.20548994423086</v>
      </c>
      <c r="AF24" s="102">
        <f t="shared" si="7"/>
        <v>537.54430513693217</v>
      </c>
      <c r="AG24" s="102">
        <f t="shared" si="7"/>
        <v>560.90124315958815</v>
      </c>
      <c r="AH24" s="102">
        <f t="shared" si="7"/>
        <v>585.32433121310294</v>
      </c>
      <c r="AI24" s="102">
        <f t="shared" si="7"/>
        <v>610.86400614207957</v>
      </c>
      <c r="AJ24" s="102">
        <f t="shared" si="7"/>
        <v>637.57311967016142</v>
      </c>
      <c r="AK24" s="102">
        <f t="shared" si="7"/>
        <v>665.50711977216554</v>
      </c>
      <c r="AL24" s="102">
        <f t="shared" si="7"/>
        <v>694.72411722600305</v>
      </c>
      <c r="AM24" s="102">
        <f t="shared" si="7"/>
        <v>725.28504632709485</v>
      </c>
      <c r="AN24" s="102">
        <f t="shared" si="7"/>
        <v>757.25384748889223</v>
      </c>
      <c r="AO24" s="102">
        <f t="shared" si="7"/>
        <v>790.6975181063118</v>
      </c>
      <c r="AP24" s="102">
        <f t="shared" si="7"/>
        <v>825.68633035030928</v>
      </c>
      <c r="AQ24" s="102">
        <f t="shared" si="7"/>
        <v>862.29403092241125</v>
      </c>
      <c r="AR24" s="102">
        <f t="shared" si="7"/>
        <v>900.59790771810685</v>
      </c>
      <c r="AS24" s="102">
        <f t="shared" si="7"/>
        <v>940.67908568641531</v>
      </c>
      <c r="AT24" s="102">
        <f t="shared" si="7"/>
        <v>982.6225821700458</v>
      </c>
      <c r="AU24" s="102">
        <f t="shared" si="7"/>
        <v>1024.1954275628816</v>
      </c>
      <c r="AV24" s="102">
        <f t="shared" si="7"/>
        <v>1059.2318830422378</v>
      </c>
      <c r="AW24" s="102">
        <f t="shared" si="7"/>
        <v>1048.7756303403189</v>
      </c>
      <c r="AX24" s="102">
        <f t="shared" si="7"/>
        <v>782.59597303272312</v>
      </c>
      <c r="AY24" s="102">
        <f t="shared" si="7"/>
        <v>46.081658029532868</v>
      </c>
      <c r="AZ24" s="102">
        <f t="shared" si="7"/>
        <v>0</v>
      </c>
      <c r="BA24" s="102">
        <f t="shared" si="7"/>
        <v>0</v>
      </c>
      <c r="BB24" s="102">
        <f t="shared" si="7"/>
        <v>0</v>
      </c>
      <c r="BC24" s="102">
        <f t="shared" si="7"/>
        <v>0</v>
      </c>
      <c r="BD24" s="102">
        <f t="shared" si="7"/>
        <v>0</v>
      </c>
      <c r="BE24" s="102"/>
      <c r="BF24" s="102"/>
      <c r="BG24" s="102"/>
      <c r="BH24" s="102"/>
      <c r="BI24" s="102"/>
    </row>
    <row r="25" spans="1:61" s="17" customFormat="1" x14ac:dyDescent="0.25">
      <c r="A25" s="16" t="s">
        <v>224</v>
      </c>
      <c r="B25" s="101">
        <f>SUM(C25:BB25)</f>
        <v>11890.244723367503</v>
      </c>
      <c r="C25" s="102">
        <f t="shared" si="6"/>
        <v>0</v>
      </c>
      <c r="D25" s="102">
        <f t="shared" si="6"/>
        <v>0</v>
      </c>
      <c r="E25" s="102">
        <f t="shared" si="6"/>
        <v>0</v>
      </c>
      <c r="F25" s="102">
        <f t="shared" si="6"/>
        <v>0</v>
      </c>
      <c r="G25" s="102">
        <f t="shared" si="6"/>
        <v>0</v>
      </c>
      <c r="H25" s="102">
        <f t="shared" si="6"/>
        <v>0</v>
      </c>
      <c r="I25" s="102">
        <f t="shared" si="6"/>
        <v>0</v>
      </c>
      <c r="J25" s="102">
        <f t="shared" si="6"/>
        <v>0</v>
      </c>
      <c r="K25" s="102">
        <f t="shared" si="6"/>
        <v>0</v>
      </c>
      <c r="L25" s="102">
        <f t="shared" si="6"/>
        <v>0</v>
      </c>
      <c r="M25" s="102">
        <f t="shared" si="6"/>
        <v>0</v>
      </c>
      <c r="N25" s="102">
        <f t="shared" si="6"/>
        <v>0</v>
      </c>
      <c r="O25" s="102">
        <f t="shared" si="6"/>
        <v>0</v>
      </c>
      <c r="P25" s="102">
        <f t="shared" si="6"/>
        <v>0</v>
      </c>
      <c r="Q25" s="102">
        <f t="shared" si="6"/>
        <v>0</v>
      </c>
      <c r="R25" s="102">
        <f t="shared" si="6"/>
        <v>0</v>
      </c>
      <c r="S25" s="102">
        <f t="shared" si="6"/>
        <v>0</v>
      </c>
      <c r="T25" s="102">
        <f t="shared" si="6"/>
        <v>0</v>
      </c>
      <c r="U25" s="102">
        <f t="shared" si="6"/>
        <v>0</v>
      </c>
      <c r="V25" s="102">
        <f t="shared" si="6"/>
        <v>2.1128611464333336</v>
      </c>
      <c r="W25" s="102">
        <f t="shared" si="6"/>
        <v>10.710023137832557</v>
      </c>
      <c r="X25" s="102">
        <f t="shared" si="6"/>
        <v>35.538935050424456</v>
      </c>
      <c r="Y25" s="102">
        <f t="shared" si="6"/>
        <v>376.73999940090982</v>
      </c>
      <c r="Z25" s="102">
        <f t="shared" ref="Z25:BD25" si="8">+Z18+Z14</f>
        <v>761.06168188475976</v>
      </c>
      <c r="AA25" s="102">
        <f t="shared" si="8"/>
        <v>757.25747526853206</v>
      </c>
      <c r="AB25" s="102">
        <f t="shared" si="8"/>
        <v>738.35081017810182</v>
      </c>
      <c r="AC25" s="102">
        <f t="shared" si="8"/>
        <v>718.58751030463111</v>
      </c>
      <c r="AD25" s="102">
        <f t="shared" si="8"/>
        <v>697.92729641557298</v>
      </c>
      <c r="AE25" s="102">
        <f t="shared" si="8"/>
        <v>676.32793017747542</v>
      </c>
      <c r="AF25" s="102">
        <f t="shared" si="8"/>
        <v>653.74513019568462</v>
      </c>
      <c r="AG25" s="102">
        <f t="shared" si="8"/>
        <v>630.13246905103892</v>
      </c>
      <c r="AH25" s="102">
        <f t="shared" si="8"/>
        <v>605.44129206855291</v>
      </c>
      <c r="AI25" s="102">
        <f t="shared" si="8"/>
        <v>579.62063783933638</v>
      </c>
      <c r="AJ25" s="102">
        <f t="shared" si="8"/>
        <v>552.61691584362416</v>
      </c>
      <c r="AK25" s="102">
        <f t="shared" si="8"/>
        <v>524.3740724681312</v>
      </c>
      <c r="AL25" s="102">
        <f t="shared" si="8"/>
        <v>494.83329546009065</v>
      </c>
      <c r="AM25" s="102">
        <f t="shared" si="8"/>
        <v>463.9328646436976</v>
      </c>
      <c r="AN25" s="102">
        <f t="shared" si="8"/>
        <v>431.60813350401577</v>
      </c>
      <c r="AO25" s="102">
        <f t="shared" si="8"/>
        <v>397.79124508912219</v>
      </c>
      <c r="AP25" s="102">
        <f t="shared" si="8"/>
        <v>362.41107835741826</v>
      </c>
      <c r="AQ25" s="102">
        <f t="shared" si="8"/>
        <v>325.39300677145923</v>
      </c>
      <c r="AR25" s="102">
        <f t="shared" si="8"/>
        <v>286.65880709203765</v>
      </c>
      <c r="AS25" s="102">
        <f t="shared" si="8"/>
        <v>246.12633892622554</v>
      </c>
      <c r="AT25" s="102">
        <f t="shared" si="8"/>
        <v>203.70957935979143</v>
      </c>
      <c r="AU25" s="102">
        <f t="shared" si="8"/>
        <v>159.33966754850948</v>
      </c>
      <c r="AV25" s="102">
        <f t="shared" si="8"/>
        <v>113.07343850376178</v>
      </c>
      <c r="AW25" s="102">
        <f t="shared" si="8"/>
        <v>65.302114984278418</v>
      </c>
      <c r="AX25" s="102">
        <f t="shared" si="8"/>
        <v>19.018025519298913</v>
      </c>
      <c r="AY25" s="102">
        <f t="shared" si="8"/>
        <v>0.50208717675819559</v>
      </c>
      <c r="AZ25" s="102">
        <f t="shared" si="8"/>
        <v>0</v>
      </c>
      <c r="BA25" s="102">
        <f t="shared" si="8"/>
        <v>0</v>
      </c>
      <c r="BB25" s="102">
        <f t="shared" si="8"/>
        <v>0</v>
      </c>
      <c r="BC25" s="102">
        <f t="shared" si="8"/>
        <v>0</v>
      </c>
      <c r="BD25" s="102">
        <f t="shared" si="8"/>
        <v>0</v>
      </c>
      <c r="BE25" s="102"/>
      <c r="BF25" s="102"/>
      <c r="BG25" s="102"/>
      <c r="BH25" s="102"/>
      <c r="BI25" s="102"/>
    </row>
    <row r="26" spans="1:61" s="17" customFormat="1" x14ac:dyDescent="0.25">
      <c r="A26" s="16" t="s">
        <v>225</v>
      </c>
      <c r="B26" s="101">
        <f>SUM(C26:BB26)</f>
        <v>29918.488539872142</v>
      </c>
      <c r="C26" s="102">
        <f>C24+C25</f>
        <v>0</v>
      </c>
      <c r="D26" s="102">
        <f t="shared" ref="D26:U26" si="9">D24+D25</f>
        <v>0</v>
      </c>
      <c r="E26" s="102">
        <f t="shared" si="9"/>
        <v>0</v>
      </c>
      <c r="F26" s="102">
        <f t="shared" si="9"/>
        <v>0</v>
      </c>
      <c r="G26" s="102">
        <f t="shared" si="9"/>
        <v>0</v>
      </c>
      <c r="H26" s="102">
        <f t="shared" si="9"/>
        <v>0</v>
      </c>
      <c r="I26" s="102">
        <f t="shared" si="9"/>
        <v>0</v>
      </c>
      <c r="J26" s="102">
        <f t="shared" si="9"/>
        <v>0</v>
      </c>
      <c r="K26" s="102">
        <f t="shared" si="9"/>
        <v>0</v>
      </c>
      <c r="L26" s="102">
        <f t="shared" si="9"/>
        <v>0</v>
      </c>
      <c r="M26" s="102">
        <f t="shared" si="9"/>
        <v>0</v>
      </c>
      <c r="N26" s="102">
        <f t="shared" si="9"/>
        <v>0</v>
      </c>
      <c r="O26" s="102">
        <f t="shared" si="9"/>
        <v>0</v>
      </c>
      <c r="P26" s="102">
        <f t="shared" si="9"/>
        <v>0</v>
      </c>
      <c r="Q26" s="102">
        <f t="shared" si="9"/>
        <v>0</v>
      </c>
      <c r="R26" s="102">
        <f t="shared" si="9"/>
        <v>0</v>
      </c>
      <c r="S26" s="102">
        <f t="shared" si="9"/>
        <v>0</v>
      </c>
      <c r="T26" s="102">
        <f t="shared" si="9"/>
        <v>0</v>
      </c>
      <c r="U26" s="102">
        <f t="shared" si="9"/>
        <v>0</v>
      </c>
      <c r="V26" s="102">
        <f>V24+V25</f>
        <v>3.1805760523937257</v>
      </c>
      <c r="W26" s="102">
        <f>W24+W25</f>
        <v>17.419673007291642</v>
      </c>
      <c r="X26" s="102">
        <f t="shared" ref="X26:AT26" si="10">X24+X25</f>
        <v>75.590405747118893</v>
      </c>
      <c r="Y26" s="102">
        <f t="shared" si="10"/>
        <v>542.4022490786183</v>
      </c>
      <c r="Z26" s="102">
        <f t="shared" si="10"/>
        <v>1165.9399305728523</v>
      </c>
      <c r="AA26" s="102">
        <f t="shared" si="10"/>
        <v>1192.4023355965699</v>
      </c>
      <c r="AB26" s="102">
        <f t="shared" si="10"/>
        <v>1192.2001523153372</v>
      </c>
      <c r="AC26" s="102">
        <f t="shared" si="10"/>
        <v>1191.9882589772105</v>
      </c>
      <c r="AD26" s="102">
        <f t="shared" si="10"/>
        <v>1191.7661749028994</v>
      </c>
      <c r="AE26" s="102">
        <f t="shared" si="10"/>
        <v>1191.5334201217063</v>
      </c>
      <c r="AF26" s="102">
        <f t="shared" si="10"/>
        <v>1191.2894353326169</v>
      </c>
      <c r="AG26" s="102">
        <f t="shared" si="10"/>
        <v>1191.0337122106271</v>
      </c>
      <c r="AH26" s="102">
        <f t="shared" si="10"/>
        <v>1190.7656232816557</v>
      </c>
      <c r="AI26" s="102">
        <f t="shared" si="10"/>
        <v>1190.484643981416</v>
      </c>
      <c r="AJ26" s="102">
        <f t="shared" si="10"/>
        <v>1190.1900355137855</v>
      </c>
      <c r="AK26" s="102">
        <f t="shared" si="10"/>
        <v>1189.8811922402967</v>
      </c>
      <c r="AL26" s="102">
        <f t="shared" si="10"/>
        <v>1189.5574126860938</v>
      </c>
      <c r="AM26" s="102">
        <f t="shared" si="10"/>
        <v>1189.2179109707924</v>
      </c>
      <c r="AN26" s="102">
        <f t="shared" si="10"/>
        <v>1188.861980992908</v>
      </c>
      <c r="AO26" s="102">
        <f t="shared" si="10"/>
        <v>1188.4887631954339</v>
      </c>
      <c r="AP26" s="102">
        <f t="shared" si="10"/>
        <v>1188.0974087077275</v>
      </c>
      <c r="AQ26" s="102">
        <f t="shared" si="10"/>
        <v>1187.6870376938705</v>
      </c>
      <c r="AR26" s="102">
        <f t="shared" si="10"/>
        <v>1187.2567148101446</v>
      </c>
      <c r="AS26" s="102">
        <f t="shared" si="10"/>
        <v>1186.8054246126408</v>
      </c>
      <c r="AT26" s="102">
        <f t="shared" si="10"/>
        <v>1186.3321615298373</v>
      </c>
      <c r="AU26" s="102">
        <f>AU24+AU25</f>
        <v>1183.535095111391</v>
      </c>
      <c r="AV26" s="102">
        <f>AV24+AV25</f>
        <v>1172.3053215459995</v>
      </c>
      <c r="AW26" s="102">
        <f>AW24+AW25</f>
        <v>1114.0777453245973</v>
      </c>
      <c r="AX26" s="102">
        <f t="shared" ref="AX26:BD26" si="11">AX24+AX25</f>
        <v>801.61399855202205</v>
      </c>
      <c r="AY26" s="102">
        <f t="shared" si="11"/>
        <v>46.583745206291063</v>
      </c>
      <c r="AZ26" s="102">
        <f t="shared" si="11"/>
        <v>0</v>
      </c>
      <c r="BA26" s="102">
        <f t="shared" si="11"/>
        <v>0</v>
      </c>
      <c r="BB26" s="102">
        <f t="shared" si="11"/>
        <v>0</v>
      </c>
      <c r="BC26" s="102">
        <f t="shared" si="11"/>
        <v>0</v>
      </c>
      <c r="BD26" s="102">
        <f t="shared" si="11"/>
        <v>0</v>
      </c>
      <c r="BE26" s="102"/>
      <c r="BF26" s="102"/>
      <c r="BG26" s="102"/>
      <c r="BH26" s="102"/>
      <c r="BI26" s="102"/>
    </row>
    <row r="27" spans="1:61" s="17" customFormat="1" x14ac:dyDescent="0.25">
      <c r="A27" s="16" t="s">
        <v>16</v>
      </c>
      <c r="B27" s="101"/>
      <c r="C27" s="102">
        <f>C23-C24</f>
        <v>0</v>
      </c>
      <c r="D27" s="102">
        <f>C27+D23-D24</f>
        <v>0</v>
      </c>
      <c r="E27" s="102">
        <f>D27+E23-E24</f>
        <v>0</v>
      </c>
      <c r="F27" s="102">
        <f t="shared" ref="F27:BD27" si="12">E27+F23-F24</f>
        <v>0</v>
      </c>
      <c r="G27" s="102">
        <f t="shared" si="12"/>
        <v>0</v>
      </c>
      <c r="H27" s="102">
        <f t="shared" si="12"/>
        <v>0</v>
      </c>
      <c r="I27" s="102">
        <f t="shared" si="12"/>
        <v>0</v>
      </c>
      <c r="J27" s="102">
        <f t="shared" si="12"/>
        <v>0</v>
      </c>
      <c r="K27" s="102">
        <f t="shared" si="12"/>
        <v>0</v>
      </c>
      <c r="L27" s="102">
        <f t="shared" si="12"/>
        <v>0</v>
      </c>
      <c r="M27" s="102">
        <f t="shared" si="12"/>
        <v>0</v>
      </c>
      <c r="N27" s="102">
        <f t="shared" si="12"/>
        <v>0</v>
      </c>
      <c r="O27" s="102">
        <f t="shared" si="12"/>
        <v>0</v>
      </c>
      <c r="P27" s="102">
        <f t="shared" si="12"/>
        <v>0</v>
      </c>
      <c r="Q27" s="102">
        <f t="shared" si="12"/>
        <v>0</v>
      </c>
      <c r="R27" s="102">
        <f t="shared" si="12"/>
        <v>0</v>
      </c>
      <c r="S27" s="102">
        <f>R27+S23-S24</f>
        <v>0</v>
      </c>
      <c r="T27" s="102">
        <f t="shared" si="12"/>
        <v>0</v>
      </c>
      <c r="U27" s="102">
        <f t="shared" si="12"/>
        <v>0</v>
      </c>
      <c r="V27" s="102">
        <f t="shared" si="12"/>
        <v>193.45686509403959</v>
      </c>
      <c r="W27" s="102">
        <f t="shared" si="12"/>
        <v>1054.7542152245805</v>
      </c>
      <c r="X27" s="102">
        <f t="shared" si="12"/>
        <v>3796.4507445278859</v>
      </c>
      <c r="Y27" s="102">
        <f t="shared" si="12"/>
        <v>16515.788494850178</v>
      </c>
      <c r="Z27" s="102">
        <f t="shared" si="12"/>
        <v>17409.555156162085</v>
      </c>
      <c r="AA27" s="102">
        <f t="shared" si="12"/>
        <v>16974.410295834048</v>
      </c>
      <c r="AB27" s="102">
        <f t="shared" si="12"/>
        <v>16520.560953696811</v>
      </c>
      <c r="AC27" s="102">
        <f t="shared" si="12"/>
        <v>16047.160205024233</v>
      </c>
      <c r="AD27" s="102">
        <f t="shared" si="12"/>
        <v>15553.321326536907</v>
      </c>
      <c r="AE27" s="102">
        <f t="shared" si="12"/>
        <v>15038.115836592677</v>
      </c>
      <c r="AF27" s="102">
        <f t="shared" si="12"/>
        <v>14500.571531455744</v>
      </c>
      <c r="AG27" s="102">
        <f t="shared" si="12"/>
        <v>13939.670288296156</v>
      </c>
      <c r="AH27" s="102">
        <f t="shared" si="12"/>
        <v>13354.345957083053</v>
      </c>
      <c r="AI27" s="102">
        <f t="shared" si="12"/>
        <v>12743.481950940974</v>
      </c>
      <c r="AJ27" s="102">
        <f t="shared" si="12"/>
        <v>12105.908831270812</v>
      </c>
      <c r="AK27" s="102">
        <f t="shared" si="12"/>
        <v>11440.401711498645</v>
      </c>
      <c r="AL27" s="102">
        <f t="shared" si="12"/>
        <v>10745.677594272642</v>
      </c>
      <c r="AM27" s="102">
        <f t="shared" si="12"/>
        <v>10020.392547945547</v>
      </c>
      <c r="AN27" s="102">
        <f t="shared" si="12"/>
        <v>9263.138700456655</v>
      </c>
      <c r="AO27" s="102">
        <f t="shared" si="12"/>
        <v>8472.4411823503433</v>
      </c>
      <c r="AP27" s="102">
        <f t="shared" si="12"/>
        <v>7646.7548520000337</v>
      </c>
      <c r="AQ27" s="102">
        <f t="shared" si="12"/>
        <v>6784.4608210776223</v>
      </c>
      <c r="AR27" s="102">
        <f t="shared" si="12"/>
        <v>5883.862913359515</v>
      </c>
      <c r="AS27" s="102">
        <f t="shared" si="12"/>
        <v>4943.1838276730996</v>
      </c>
      <c r="AT27" s="102">
        <f t="shared" si="12"/>
        <v>3960.5612455030537</v>
      </c>
      <c r="AU27" s="102">
        <f t="shared" si="12"/>
        <v>2936.3658179401718</v>
      </c>
      <c r="AV27" s="102">
        <f t="shared" si="12"/>
        <v>1877.1339348979341</v>
      </c>
      <c r="AW27" s="102">
        <f t="shared" si="12"/>
        <v>828.35830455761516</v>
      </c>
      <c r="AX27" s="102">
        <f t="shared" si="12"/>
        <v>45.762331524892033</v>
      </c>
      <c r="AY27" s="102">
        <f t="shared" si="12"/>
        <v>-0.31932650464083423</v>
      </c>
      <c r="AZ27" s="102">
        <f t="shared" si="12"/>
        <v>-0.31932650464083423</v>
      </c>
      <c r="BA27" s="102">
        <f t="shared" si="12"/>
        <v>-0.31932650464083423</v>
      </c>
      <c r="BB27" s="102">
        <f t="shared" si="12"/>
        <v>-0.31932650464083423</v>
      </c>
      <c r="BC27" s="102">
        <f t="shared" si="12"/>
        <v>-0.31932650464083423</v>
      </c>
      <c r="BD27" s="102">
        <f t="shared" si="12"/>
        <v>-0.31932650464083423</v>
      </c>
      <c r="BE27" s="102"/>
      <c r="BF27" s="102"/>
      <c r="BG27" s="102"/>
      <c r="BH27" s="102"/>
      <c r="BI27" s="102"/>
    </row>
    <row r="28" spans="1:61" s="17" customFormat="1" hidden="1" outlineLevel="1" x14ac:dyDescent="0.25">
      <c r="A28" s="16"/>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row>
    <row r="29" spans="1:61" hidden="1" outlineLevel="1" x14ac:dyDescent="0.25">
      <c r="A29" s="20" t="s">
        <v>226</v>
      </c>
      <c r="B29" s="101">
        <f t="shared" ref="B29:B47" si="13">SUM(C29:BB29)</f>
        <v>129.69253312692672</v>
      </c>
      <c r="C29" s="102">
        <v>0</v>
      </c>
      <c r="D29" s="102"/>
      <c r="E29" s="102"/>
      <c r="F29" s="102"/>
      <c r="G29" s="102"/>
      <c r="H29" s="102"/>
      <c r="I29" s="102"/>
      <c r="J29" s="102"/>
      <c r="K29" s="102"/>
      <c r="L29" s="102"/>
      <c r="M29" s="102"/>
      <c r="N29" s="102"/>
      <c r="O29" s="102"/>
      <c r="P29" s="102"/>
      <c r="Q29" s="102"/>
      <c r="R29" s="102"/>
      <c r="S29" s="102"/>
      <c r="T29" s="102"/>
      <c r="U29" s="102"/>
      <c r="V29" s="102"/>
      <c r="W29" s="102"/>
      <c r="X29" s="102"/>
      <c r="Y29" s="102"/>
      <c r="Z29" s="102">
        <f>+Z$8</f>
        <v>129.69253312692672</v>
      </c>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row>
    <row r="30" spans="1:61" s="17" customFormat="1" hidden="1" outlineLevel="1" x14ac:dyDescent="0.25">
      <c r="A30" s="16" t="s">
        <v>163</v>
      </c>
      <c r="B30" s="101">
        <f t="shared" si="13"/>
        <v>66.963307738325085</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f>+Z34-Z32</f>
        <v>1.2382769502315991</v>
      </c>
      <c r="AA30" s="102">
        <f>+AA34-AA32</f>
        <v>1.272299022198196</v>
      </c>
      <c r="AB30" s="102">
        <f t="shared" ref="AB30:AN31" si="14">+AB34-AB32</f>
        <v>1.343173152491322</v>
      </c>
      <c r="AC30" s="102">
        <f t="shared" si="14"/>
        <v>1.4179953659450626</v>
      </c>
      <c r="AD30" s="102">
        <f t="shared" si="14"/>
        <v>1.4969855927452085</v>
      </c>
      <c r="AE30" s="102">
        <f t="shared" si="14"/>
        <v>1.5803760144118448</v>
      </c>
      <c r="AF30" s="102">
        <f t="shared" si="14"/>
        <v>1.6684117462667958</v>
      </c>
      <c r="AG30" s="102">
        <f t="shared" si="14"/>
        <v>1.7613515579183012</v>
      </c>
      <c r="AH30" s="102">
        <f t="shared" si="14"/>
        <v>1.8594686338806974</v>
      </c>
      <c r="AI30" s="102">
        <f t="shared" si="14"/>
        <v>1.9630513765648399</v>
      </c>
      <c r="AJ30" s="102">
        <f t="shared" si="14"/>
        <v>2.0724042539995629</v>
      </c>
      <c r="AK30" s="102">
        <f t="shared" si="14"/>
        <v>2.1878486947759339</v>
      </c>
      <c r="AL30" s="102">
        <f t="shared" si="14"/>
        <v>2.3097240328448807</v>
      </c>
      <c r="AM30" s="102">
        <f t="shared" si="14"/>
        <v>2.4383885049453018</v>
      </c>
      <c r="AN30" s="102">
        <f t="shared" si="14"/>
        <v>2.5742203035944669</v>
      </c>
      <c r="AO30" s="102">
        <f t="shared" ref="AO30:AY30" si="15">+AO34-AO32</f>
        <v>2.7176186887358367</v>
      </c>
      <c r="AP30" s="102">
        <f t="shared" si="15"/>
        <v>2.8690051613118523</v>
      </c>
      <c r="AQ30" s="102">
        <f t="shared" si="15"/>
        <v>3.0288247022112493</v>
      </c>
      <c r="AR30" s="102">
        <f t="shared" si="15"/>
        <v>3.1975470802326322</v>
      </c>
      <c r="AS30" s="102">
        <f t="shared" si="15"/>
        <v>3.3756682329088852</v>
      </c>
      <c r="AT30" s="102">
        <f t="shared" si="15"/>
        <v>3.563711724251192</v>
      </c>
      <c r="AU30" s="102">
        <f t="shared" si="15"/>
        <v>3.762230283697491</v>
      </c>
      <c r="AV30" s="102">
        <f t="shared" si="15"/>
        <v>3.9718074307889264</v>
      </c>
      <c r="AW30" s="102">
        <f t="shared" si="15"/>
        <v>4.1930591903498087</v>
      </c>
      <c r="AX30" s="102">
        <f t="shared" si="15"/>
        <v>4.4266359032126354</v>
      </c>
      <c r="AY30" s="102">
        <f t="shared" si="15"/>
        <v>4.6732241378105632</v>
      </c>
      <c r="AZ30" s="102"/>
      <c r="BA30" s="102"/>
      <c r="BB30" s="102"/>
      <c r="BC30" s="102"/>
      <c r="BD30" s="102"/>
      <c r="BE30" s="102"/>
      <c r="BF30" s="102"/>
      <c r="BG30" s="102"/>
      <c r="BH30" s="102"/>
      <c r="BI30" s="102"/>
    </row>
    <row r="31" spans="1:61" s="17" customFormat="1" hidden="1" outlineLevel="1" x14ac:dyDescent="0.25">
      <c r="A31" s="16" t="s">
        <v>163</v>
      </c>
      <c r="B31" s="101">
        <f t="shared" si="13"/>
        <v>62.729225388601662</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f>+AA35-AA33</f>
        <v>1.3072558619327657</v>
      </c>
      <c r="AB31" s="102">
        <f t="shared" si="14"/>
        <v>1.3800772825804053</v>
      </c>
      <c r="AC31" s="102">
        <f t="shared" si="14"/>
        <v>1.4569552612895249</v>
      </c>
      <c r="AD31" s="102">
        <f t="shared" si="14"/>
        <v>1.5381157709010806</v>
      </c>
      <c r="AE31" s="102">
        <f t="shared" si="14"/>
        <v>1.6237973721998151</v>
      </c>
      <c r="AF31" s="102">
        <f t="shared" si="14"/>
        <v>1.7142519151327247</v>
      </c>
      <c r="AG31" s="102">
        <f t="shared" si="14"/>
        <v>1.8097452790892925</v>
      </c>
      <c r="AH31" s="102">
        <f t="shared" si="14"/>
        <v>1.9105581544194474</v>
      </c>
      <c r="AI31" s="102">
        <f t="shared" si="14"/>
        <v>2.0169868674864175</v>
      </c>
      <c r="AJ31" s="102">
        <f t="shared" si="14"/>
        <v>2.129344251679619</v>
      </c>
      <c r="AK31" s="102">
        <f t="shared" si="14"/>
        <v>2.2479605669478011</v>
      </c>
      <c r="AL31" s="102">
        <f t="shared" si="14"/>
        <v>2.3731844705553047</v>
      </c>
      <c r="AM31" s="102">
        <f t="shared" si="14"/>
        <v>2.5053840419148425</v>
      </c>
      <c r="AN31" s="102">
        <f t="shared" si="14"/>
        <v>2.6449478645091595</v>
      </c>
      <c r="AO31" s="102">
        <f t="shared" ref="AO31:AY31" si="16">+AO35-AO33</f>
        <v>2.7922861680817501</v>
      </c>
      <c r="AP31" s="102">
        <f t="shared" si="16"/>
        <v>2.947832034453949</v>
      </c>
      <c r="AQ31" s="102">
        <f t="shared" si="16"/>
        <v>3.1120426705127375</v>
      </c>
      <c r="AR31" s="102">
        <f t="shared" si="16"/>
        <v>3.28540075211105</v>
      </c>
      <c r="AS31" s="102">
        <f t="shared" si="16"/>
        <v>3.4684158428308014</v>
      </c>
      <c r="AT31" s="102">
        <f t="shared" si="16"/>
        <v>3.6616258917789013</v>
      </c>
      <c r="AU31" s="102">
        <f t="shared" si="16"/>
        <v>3.8655988148188403</v>
      </c>
      <c r="AV31" s="102">
        <f t="shared" si="16"/>
        <v>4.0809341638856624</v>
      </c>
      <c r="AW31" s="102">
        <f t="shared" si="16"/>
        <v>4.3082648892910669</v>
      </c>
      <c r="AX31" s="102">
        <f t="shared" si="16"/>
        <v>4.5482592001987037</v>
      </c>
      <c r="AY31" s="102">
        <f t="shared" si="16"/>
        <v>1.2445529051774428E-15</v>
      </c>
      <c r="AZ31" s="102"/>
      <c r="BA31" s="102"/>
      <c r="BB31" s="102"/>
      <c r="BC31" s="102"/>
      <c r="BD31" s="102"/>
      <c r="BE31" s="102"/>
      <c r="BF31" s="102"/>
      <c r="BG31" s="102"/>
      <c r="BH31" s="102"/>
      <c r="BI31" s="102"/>
    </row>
    <row r="32" spans="1:61" s="17" customFormat="1" hidden="1" outlineLevel="1" x14ac:dyDescent="0.25">
      <c r="A32" s="16" t="s">
        <v>164</v>
      </c>
      <c r="B32" s="101">
        <f t="shared" si="13"/>
        <v>57.878878008870345</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f>+Z29*($Z$9/2)</f>
        <v>3.563345578506687</v>
      </c>
      <c r="AA32" s="102">
        <f t="shared" ref="AA32:AN32" si="17">+Z37*$Z$9/2</f>
        <v>3.5293235065400901</v>
      </c>
      <c r="AB32" s="102">
        <f t="shared" si="17"/>
        <v>3.4584493762469641</v>
      </c>
      <c r="AC32" s="102">
        <f t="shared" si="17"/>
        <v>3.3836271627932235</v>
      </c>
      <c r="AD32" s="102">
        <f t="shared" si="17"/>
        <v>3.3046369359930776</v>
      </c>
      <c r="AE32" s="102">
        <f t="shared" si="17"/>
        <v>3.2212465143264413</v>
      </c>
      <c r="AF32" s="102">
        <f t="shared" si="17"/>
        <v>3.1332107824714903</v>
      </c>
      <c r="AG32" s="102">
        <f t="shared" si="17"/>
        <v>3.0402709708199849</v>
      </c>
      <c r="AH32" s="102">
        <f t="shared" si="17"/>
        <v>2.9421538948575887</v>
      </c>
      <c r="AI32" s="102">
        <f t="shared" si="17"/>
        <v>2.8385711521734462</v>
      </c>
      <c r="AJ32" s="102">
        <f t="shared" si="17"/>
        <v>2.7292182747387232</v>
      </c>
      <c r="AK32" s="102">
        <f t="shared" si="17"/>
        <v>2.6137738339623522</v>
      </c>
      <c r="AL32" s="102">
        <f t="shared" si="17"/>
        <v>2.4918984958934054</v>
      </c>
      <c r="AM32" s="102">
        <f t="shared" si="17"/>
        <v>2.3632340237929843</v>
      </c>
      <c r="AN32" s="102">
        <f t="shared" si="17"/>
        <v>2.2274022251438192</v>
      </c>
      <c r="AO32" s="102">
        <f t="shared" ref="AO32" si="18">+AN37*$Z$9/2</f>
        <v>2.0840038400024494</v>
      </c>
      <c r="AP32" s="102">
        <f t="shared" ref="AP32" si="19">+AO37*$Z$9/2</f>
        <v>1.932617367426434</v>
      </c>
      <c r="AQ32" s="102">
        <f t="shared" ref="AQ32" si="20">+AP37*$Z$9/2</f>
        <v>1.7727978265270365</v>
      </c>
      <c r="AR32" s="102">
        <f t="shared" ref="AR32" si="21">+AQ37*$Z$9/2</f>
        <v>1.6040754485056541</v>
      </c>
      <c r="AS32" s="102">
        <f t="shared" ref="AS32" si="22">+AR37*$Z$9/2</f>
        <v>1.4259542958294007</v>
      </c>
      <c r="AT32" s="102">
        <f t="shared" ref="AT32" si="23">+AS37*$Z$9/2</f>
        <v>1.2379108044870943</v>
      </c>
      <c r="AU32" s="102">
        <f t="shared" ref="AU32" si="24">+AT37*$Z$9/2</f>
        <v>1.0393922450407953</v>
      </c>
      <c r="AV32" s="102">
        <f t="shared" ref="AV32" si="25">+AU37*$Z$9/2</f>
        <v>0.8298150979493597</v>
      </c>
      <c r="AW32" s="102">
        <f t="shared" ref="AW32" si="26">+AV37*$Z$9/2</f>
        <v>0.6085633383884772</v>
      </c>
      <c r="AX32" s="102">
        <f t="shared" ref="AX32" si="27">+AW37*$Z$9/2</f>
        <v>0.37498662552565087</v>
      </c>
      <c r="AY32" s="102">
        <f t="shared" ref="AY32" si="28">+AX37*$Z$9/2</f>
        <v>0.12839839092772323</v>
      </c>
      <c r="AZ32" s="102"/>
      <c r="BA32" s="102"/>
      <c r="BB32" s="102"/>
      <c r="BC32" s="102"/>
      <c r="BD32" s="102"/>
      <c r="BE32" s="102"/>
      <c r="BF32" s="102"/>
      <c r="BG32" s="102"/>
      <c r="BH32" s="102"/>
      <c r="BI32" s="102"/>
    </row>
    <row r="33" spans="1:61" s="17" customFormat="1" hidden="1" outlineLevel="1" x14ac:dyDescent="0.25">
      <c r="A33" s="16" t="s">
        <v>164</v>
      </c>
      <c r="B33" s="101">
        <f t="shared" si="13"/>
        <v>52.509715301117197</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f t="shared" ref="AA33:AN33" si="29">+AA36*$Z$9/2</f>
        <v>3.4943666668055204</v>
      </c>
      <c r="AB33" s="102">
        <f t="shared" si="29"/>
        <v>3.4215452461578808</v>
      </c>
      <c r="AC33" s="102">
        <f t="shared" si="29"/>
        <v>3.3446672674487612</v>
      </c>
      <c r="AD33" s="102">
        <f t="shared" si="29"/>
        <v>3.2635067578372055</v>
      </c>
      <c r="AE33" s="102">
        <f t="shared" si="29"/>
        <v>3.177825156538471</v>
      </c>
      <c r="AF33" s="102">
        <f t="shared" si="29"/>
        <v>3.0873706136055614</v>
      </c>
      <c r="AG33" s="102">
        <f t="shared" si="29"/>
        <v>2.9918772496489936</v>
      </c>
      <c r="AH33" s="102">
        <f t="shared" si="29"/>
        <v>2.8910643743188387</v>
      </c>
      <c r="AI33" s="102">
        <f t="shared" si="29"/>
        <v>2.7846356612518686</v>
      </c>
      <c r="AJ33" s="102">
        <f t="shared" si="29"/>
        <v>2.6722782770586671</v>
      </c>
      <c r="AK33" s="102">
        <f t="shared" si="29"/>
        <v>2.553661961790485</v>
      </c>
      <c r="AL33" s="102">
        <f t="shared" si="29"/>
        <v>2.4284380581829814</v>
      </c>
      <c r="AM33" s="102">
        <f t="shared" si="29"/>
        <v>2.2962384868234436</v>
      </c>
      <c r="AN33" s="102">
        <f t="shared" si="29"/>
        <v>2.1566746642291266</v>
      </c>
      <c r="AO33" s="102">
        <f t="shared" ref="AO33:AY33" si="30">+AO36*$Z$9/2</f>
        <v>2.009336360656536</v>
      </c>
      <c r="AP33" s="102">
        <f t="shared" si="30"/>
        <v>1.8537904942843371</v>
      </c>
      <c r="AQ33" s="102">
        <f t="shared" si="30"/>
        <v>1.6895798582255483</v>
      </c>
      <c r="AR33" s="102">
        <f t="shared" si="30"/>
        <v>1.5162217766272359</v>
      </c>
      <c r="AS33" s="102">
        <f t="shared" si="30"/>
        <v>1.3332066859074847</v>
      </c>
      <c r="AT33" s="102">
        <f t="shared" si="30"/>
        <v>1.1399966369593846</v>
      </c>
      <c r="AU33" s="102">
        <f t="shared" si="30"/>
        <v>0.93602371391944561</v>
      </c>
      <c r="AV33" s="102">
        <f t="shared" si="30"/>
        <v>0.72068836485262366</v>
      </c>
      <c r="AW33" s="102">
        <f t="shared" si="30"/>
        <v>0.49335763944721933</v>
      </c>
      <c r="AX33" s="102">
        <f t="shared" si="30"/>
        <v>0.25336332853958266</v>
      </c>
      <c r="AY33" s="102">
        <f t="shared" si="30"/>
        <v>-1.2445529051774428E-15</v>
      </c>
      <c r="AZ33" s="102"/>
      <c r="BA33" s="102"/>
      <c r="BB33" s="102"/>
      <c r="BC33" s="102"/>
      <c r="BD33" s="102"/>
      <c r="BE33" s="102"/>
      <c r="BF33" s="102"/>
      <c r="BG33" s="102"/>
      <c r="BH33" s="102"/>
      <c r="BI33" s="102"/>
    </row>
    <row r="34" spans="1:61" s="17" customFormat="1" hidden="1" outlineLevel="1" x14ac:dyDescent="0.25">
      <c r="A34" s="16" t="s">
        <v>220</v>
      </c>
      <c r="B34" s="101">
        <f t="shared" si="13"/>
        <v>124.84218574719551</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f>-PMT($Z$9/2,$Z$10*2,Z29)</f>
        <v>4.8016225287382861</v>
      </c>
      <c r="AA34" s="102">
        <f t="shared" ref="AA34:AN34" si="31">+Z34</f>
        <v>4.8016225287382861</v>
      </c>
      <c r="AB34" s="102">
        <f t="shared" si="31"/>
        <v>4.8016225287382861</v>
      </c>
      <c r="AC34" s="102">
        <f t="shared" si="31"/>
        <v>4.8016225287382861</v>
      </c>
      <c r="AD34" s="102">
        <f t="shared" si="31"/>
        <v>4.8016225287382861</v>
      </c>
      <c r="AE34" s="102">
        <f t="shared" si="31"/>
        <v>4.8016225287382861</v>
      </c>
      <c r="AF34" s="102">
        <f t="shared" si="31"/>
        <v>4.8016225287382861</v>
      </c>
      <c r="AG34" s="102">
        <f t="shared" si="31"/>
        <v>4.8016225287382861</v>
      </c>
      <c r="AH34" s="102">
        <f t="shared" si="31"/>
        <v>4.8016225287382861</v>
      </c>
      <c r="AI34" s="102">
        <f t="shared" si="31"/>
        <v>4.8016225287382861</v>
      </c>
      <c r="AJ34" s="102">
        <f t="shared" si="31"/>
        <v>4.8016225287382861</v>
      </c>
      <c r="AK34" s="102">
        <f t="shared" si="31"/>
        <v>4.8016225287382861</v>
      </c>
      <c r="AL34" s="102">
        <f t="shared" si="31"/>
        <v>4.8016225287382861</v>
      </c>
      <c r="AM34" s="102">
        <f t="shared" si="31"/>
        <v>4.8016225287382861</v>
      </c>
      <c r="AN34" s="102">
        <f t="shared" si="31"/>
        <v>4.8016225287382861</v>
      </c>
      <c r="AO34" s="102">
        <f t="shared" ref="AO34" si="32">+AN34</f>
        <v>4.8016225287382861</v>
      </c>
      <c r="AP34" s="102">
        <f t="shared" ref="AP34" si="33">+AO34</f>
        <v>4.8016225287382861</v>
      </c>
      <c r="AQ34" s="102">
        <f t="shared" ref="AQ34" si="34">+AP34</f>
        <v>4.8016225287382861</v>
      </c>
      <c r="AR34" s="102">
        <f t="shared" ref="AR34" si="35">+AQ34</f>
        <v>4.8016225287382861</v>
      </c>
      <c r="AS34" s="102">
        <f t="shared" ref="AS34" si="36">+AR34</f>
        <v>4.8016225287382861</v>
      </c>
      <c r="AT34" s="102">
        <f t="shared" ref="AT34" si="37">+AS34</f>
        <v>4.8016225287382861</v>
      </c>
      <c r="AU34" s="102">
        <f t="shared" ref="AU34" si="38">+AT34</f>
        <v>4.8016225287382861</v>
      </c>
      <c r="AV34" s="102">
        <f t="shared" ref="AV34" si="39">+AU34</f>
        <v>4.8016225287382861</v>
      </c>
      <c r="AW34" s="102">
        <f t="shared" ref="AW34" si="40">+AV34</f>
        <v>4.8016225287382861</v>
      </c>
      <c r="AX34" s="102">
        <f t="shared" ref="AX34" si="41">+AW34</f>
        <v>4.8016225287382861</v>
      </c>
      <c r="AY34" s="102">
        <f t="shared" ref="AY34" si="42">+AX34</f>
        <v>4.8016225287382861</v>
      </c>
      <c r="AZ34" s="102"/>
      <c r="BA34" s="102"/>
      <c r="BB34" s="102"/>
      <c r="BC34" s="102"/>
      <c r="BD34" s="102"/>
      <c r="BE34" s="102"/>
      <c r="BF34" s="102"/>
      <c r="BG34" s="102"/>
      <c r="BH34" s="102"/>
      <c r="BI34" s="102"/>
    </row>
    <row r="35" spans="1:61" s="17" customFormat="1" hidden="1" outlineLevel="1" x14ac:dyDescent="0.25">
      <c r="A35" s="16" t="s">
        <v>220</v>
      </c>
      <c r="B35" s="101">
        <f t="shared" si="13"/>
        <v>115.23894068971893</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f t="shared" ref="AA35:AN35" si="43">+AA34</f>
        <v>4.8016225287382861</v>
      </c>
      <c r="AB35" s="102">
        <f t="shared" si="43"/>
        <v>4.8016225287382861</v>
      </c>
      <c r="AC35" s="102">
        <f t="shared" si="43"/>
        <v>4.8016225287382861</v>
      </c>
      <c r="AD35" s="102">
        <f t="shared" si="43"/>
        <v>4.8016225287382861</v>
      </c>
      <c r="AE35" s="102">
        <f t="shared" si="43"/>
        <v>4.8016225287382861</v>
      </c>
      <c r="AF35" s="102">
        <f t="shared" si="43"/>
        <v>4.8016225287382861</v>
      </c>
      <c r="AG35" s="102">
        <f t="shared" si="43"/>
        <v>4.8016225287382861</v>
      </c>
      <c r="AH35" s="102">
        <f t="shared" si="43"/>
        <v>4.8016225287382861</v>
      </c>
      <c r="AI35" s="102">
        <f t="shared" si="43"/>
        <v>4.8016225287382861</v>
      </c>
      <c r="AJ35" s="102">
        <f t="shared" si="43"/>
        <v>4.8016225287382861</v>
      </c>
      <c r="AK35" s="102">
        <f t="shared" si="43"/>
        <v>4.8016225287382861</v>
      </c>
      <c r="AL35" s="102">
        <f t="shared" si="43"/>
        <v>4.8016225287382861</v>
      </c>
      <c r="AM35" s="102">
        <f t="shared" si="43"/>
        <v>4.8016225287382861</v>
      </c>
      <c r="AN35" s="102">
        <f t="shared" si="43"/>
        <v>4.8016225287382861</v>
      </c>
      <c r="AO35" s="102">
        <f t="shared" ref="AO35:AX35" si="44">+AO34</f>
        <v>4.8016225287382861</v>
      </c>
      <c r="AP35" s="102">
        <f t="shared" si="44"/>
        <v>4.8016225287382861</v>
      </c>
      <c r="AQ35" s="102">
        <f t="shared" si="44"/>
        <v>4.8016225287382861</v>
      </c>
      <c r="AR35" s="102">
        <f t="shared" si="44"/>
        <v>4.8016225287382861</v>
      </c>
      <c r="AS35" s="102">
        <f t="shared" si="44"/>
        <v>4.8016225287382861</v>
      </c>
      <c r="AT35" s="102">
        <f t="shared" si="44"/>
        <v>4.8016225287382861</v>
      </c>
      <c r="AU35" s="102">
        <f t="shared" si="44"/>
        <v>4.8016225287382861</v>
      </c>
      <c r="AV35" s="102">
        <f t="shared" si="44"/>
        <v>4.8016225287382861</v>
      </c>
      <c r="AW35" s="102">
        <f t="shared" si="44"/>
        <v>4.8016225287382861</v>
      </c>
      <c r="AX35" s="102">
        <f t="shared" si="44"/>
        <v>4.8016225287382861</v>
      </c>
      <c r="AY35" s="102"/>
      <c r="AZ35" s="102"/>
      <c r="BA35" s="102"/>
      <c r="BB35" s="102"/>
      <c r="BC35" s="102"/>
      <c r="BD35" s="102"/>
      <c r="BE35" s="102"/>
      <c r="BF35" s="102"/>
      <c r="BG35" s="102"/>
      <c r="BH35" s="102"/>
      <c r="BI35" s="102"/>
    </row>
    <row r="36" spans="1:61" s="17" customFormat="1" hidden="1" outlineLevel="1" x14ac:dyDescent="0.25">
      <c r="A36" s="16" t="s">
        <v>227</v>
      </c>
      <c r="B36" s="101">
        <f t="shared" si="13"/>
        <v>1911.1584439782546</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v>0</v>
      </c>
      <c r="AA36" s="102">
        <f t="shared" ref="AA36:AN36" si="45">+Z37-AA30</f>
        <v>127.18195715449691</v>
      </c>
      <c r="AB36" s="102">
        <f t="shared" si="45"/>
        <v>124.53152814007284</v>
      </c>
      <c r="AC36" s="102">
        <f t="shared" si="45"/>
        <v>121.73345549154737</v>
      </c>
      <c r="AD36" s="102">
        <f t="shared" si="45"/>
        <v>118.77951463751265</v>
      </c>
      <c r="AE36" s="102">
        <f t="shared" si="45"/>
        <v>115.66102285219972</v>
      </c>
      <c r="AF36" s="102">
        <f t="shared" si="45"/>
        <v>112.36881373373311</v>
      </c>
      <c r="AG36" s="102">
        <f t="shared" si="45"/>
        <v>108.89321026068208</v>
      </c>
      <c r="AH36" s="102">
        <f t="shared" si="45"/>
        <v>105.22399634771209</v>
      </c>
      <c r="AI36" s="102">
        <f t="shared" si="45"/>
        <v>101.35038681672781</v>
      </c>
      <c r="AJ36" s="102">
        <f t="shared" si="45"/>
        <v>97.260995695241817</v>
      </c>
      <c r="AK36" s="102">
        <f t="shared" si="45"/>
        <v>92.943802748786254</v>
      </c>
      <c r="AL36" s="102">
        <f t="shared" si="45"/>
        <v>88.386118148993575</v>
      </c>
      <c r="AM36" s="102">
        <f t="shared" si="45"/>
        <v>83.574545173492965</v>
      </c>
      <c r="AN36" s="102">
        <f t="shared" si="45"/>
        <v>78.494940827983655</v>
      </c>
      <c r="AO36" s="102">
        <f t="shared" ref="AO36" si="46">+AN37-AO30</f>
        <v>73.132374274738652</v>
      </c>
      <c r="AP36" s="102">
        <f t="shared" ref="AP36" si="47">+AO37-AP30</f>
        <v>67.47108294534506</v>
      </c>
      <c r="AQ36" s="102">
        <f t="shared" ref="AQ36" si="48">+AP37-AQ30</f>
        <v>61.494426208679855</v>
      </c>
      <c r="AR36" s="102">
        <f t="shared" ref="AR36" si="49">+AQ37-AR30</f>
        <v>55.184836457934487</v>
      </c>
      <c r="AS36" s="102">
        <f t="shared" ref="AS36" si="50">+AR37-AS30</f>
        <v>48.52376747291455</v>
      </c>
      <c r="AT36" s="102">
        <f t="shared" ref="AT36" si="51">+AS37-AT30</f>
        <v>41.491639905832557</v>
      </c>
      <c r="AU36" s="102">
        <f t="shared" ref="AU36" si="52">+AT37-AU30</f>
        <v>34.067783730356162</v>
      </c>
      <c r="AV36" s="102">
        <f t="shared" ref="AV36" si="53">+AU37-AV30</f>
        <v>26.230377484748395</v>
      </c>
      <c r="AW36" s="102">
        <f t="shared" ref="AW36" si="54">+AV37-AW30</f>
        <v>17.956384130512923</v>
      </c>
      <c r="AX36" s="102">
        <f t="shared" ref="AX36" si="55">+AW37-AX30</f>
        <v>9.2214833380092216</v>
      </c>
      <c r="AY36" s="102">
        <f t="shared" ref="AY36" si="56">+AX37-AY30</f>
        <v>-4.5297099404706387E-14</v>
      </c>
      <c r="AZ36" s="102"/>
      <c r="BA36" s="102"/>
      <c r="BB36" s="102"/>
      <c r="BC36" s="102"/>
      <c r="BD36" s="102"/>
      <c r="BE36" s="102"/>
      <c r="BF36" s="102"/>
      <c r="BG36" s="102"/>
      <c r="BH36" s="102"/>
      <c r="BI36" s="102"/>
    </row>
    <row r="37" spans="1:61" s="17" customFormat="1" hidden="1" outlineLevel="1" x14ac:dyDescent="0.25">
      <c r="A37" s="16" t="s">
        <v>16</v>
      </c>
      <c r="B37" s="101">
        <f t="shared" si="13"/>
        <v>1976.8834747663482</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f>+Z29-Z30</f>
        <v>128.45425617669511</v>
      </c>
      <c r="AA37" s="102">
        <f t="shared" ref="AA37:AN37" si="57">+AA36-AA31</f>
        <v>125.87470129256415</v>
      </c>
      <c r="AB37" s="102">
        <f t="shared" si="57"/>
        <v>123.15145085749243</v>
      </c>
      <c r="AC37" s="102">
        <f t="shared" si="57"/>
        <v>120.27650023025785</v>
      </c>
      <c r="AD37" s="102">
        <f t="shared" si="57"/>
        <v>117.24139886661156</v>
      </c>
      <c r="AE37" s="102">
        <f t="shared" si="57"/>
        <v>114.0372254799999</v>
      </c>
      <c r="AF37" s="102">
        <f t="shared" si="57"/>
        <v>110.65456181860038</v>
      </c>
      <c r="AG37" s="102">
        <f t="shared" si="57"/>
        <v>107.08346498159278</v>
      </c>
      <c r="AH37" s="102">
        <f t="shared" si="57"/>
        <v>103.31343819329264</v>
      </c>
      <c r="AI37" s="102">
        <f t="shared" si="57"/>
        <v>99.333399949241382</v>
      </c>
      <c r="AJ37" s="102">
        <f t="shared" si="57"/>
        <v>95.131651443562191</v>
      </c>
      <c r="AK37" s="102">
        <f t="shared" si="57"/>
        <v>90.695842181838458</v>
      </c>
      <c r="AL37" s="102">
        <f t="shared" si="57"/>
        <v>86.012933678438273</v>
      </c>
      <c r="AM37" s="102">
        <f t="shared" si="57"/>
        <v>81.069161131578127</v>
      </c>
      <c r="AN37" s="102">
        <f t="shared" si="57"/>
        <v>75.849992963474492</v>
      </c>
      <c r="AO37" s="102">
        <f t="shared" ref="AO37:AY37" si="58">+AO36-AO31</f>
        <v>70.340088106656907</v>
      </c>
      <c r="AP37" s="102">
        <f t="shared" si="58"/>
        <v>64.523250910891107</v>
      </c>
      <c r="AQ37" s="102">
        <f t="shared" si="58"/>
        <v>58.382383538167119</v>
      </c>
      <c r="AR37" s="102">
        <f t="shared" si="58"/>
        <v>51.899435705823436</v>
      </c>
      <c r="AS37" s="102">
        <f t="shared" si="58"/>
        <v>45.055351630083749</v>
      </c>
      <c r="AT37" s="102">
        <f t="shared" si="58"/>
        <v>37.830014014053653</v>
      </c>
      <c r="AU37" s="102">
        <f t="shared" si="58"/>
        <v>30.202184915537323</v>
      </c>
      <c r="AV37" s="102">
        <f t="shared" si="58"/>
        <v>22.149443320862733</v>
      </c>
      <c r="AW37" s="102">
        <f t="shared" si="58"/>
        <v>13.648119241221856</v>
      </c>
      <c r="AX37" s="102">
        <f t="shared" si="58"/>
        <v>4.6732241378105179</v>
      </c>
      <c r="AY37" s="102">
        <f t="shared" si="58"/>
        <v>-4.6541652309883826E-14</v>
      </c>
      <c r="AZ37" s="102"/>
      <c r="BA37" s="102"/>
      <c r="BB37" s="102"/>
      <c r="BC37" s="102"/>
      <c r="BD37" s="102"/>
      <c r="BE37" s="102"/>
      <c r="BF37" s="102"/>
      <c r="BG37" s="102"/>
      <c r="BH37" s="102"/>
      <c r="BI37" s="102"/>
    </row>
    <row r="38" spans="1:61" s="17" customFormat="1" hidden="1" outlineLevel="1" x14ac:dyDescent="0.25">
      <c r="A38" s="16"/>
      <c r="B38" s="101">
        <f t="shared" si="13"/>
        <v>0</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row>
    <row r="39" spans="1:61" hidden="1" outlineLevel="1" x14ac:dyDescent="0.25">
      <c r="A39" s="20" t="str">
        <f t="shared" ref="A39:A47" si="59">A29</f>
        <v>Debt Forecasted</v>
      </c>
      <c r="B39" s="101">
        <f t="shared" si="13"/>
        <v>28.618720000000003</v>
      </c>
      <c r="C39" s="102">
        <v>0</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f>+AA$8</f>
        <v>28.618720000000003</v>
      </c>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row>
    <row r="40" spans="1:61" s="17" customFormat="1" hidden="1" outlineLevel="1" x14ac:dyDescent="0.25">
      <c r="A40" s="16" t="str">
        <f t="shared" si="59"/>
        <v>Principal</v>
      </c>
      <c r="B40" s="101">
        <f t="shared" si="13"/>
        <v>15.136147278138443</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f>+AA44-AA42</f>
        <v>0.64653618053814144</v>
      </c>
      <c r="AB40" s="102">
        <f>+AB44-AB42</f>
        <v>0.66303245882226058</v>
      </c>
      <c r="AC40" s="102">
        <f t="shared" ref="AC40:AP41" si="60">+AC44-AC42</f>
        <v>0.69729845514998468</v>
      </c>
      <c r="AD40" s="102">
        <f t="shared" si="60"/>
        <v>0.73333534291553837</v>
      </c>
      <c r="AE40" s="102">
        <f t="shared" si="60"/>
        <v>0.77123464306740352</v>
      </c>
      <c r="AF40" s="102">
        <f t="shared" si="60"/>
        <v>0.81109260642277758</v>
      </c>
      <c r="AG40" s="102">
        <f t="shared" si="60"/>
        <v>0.85301045811060483</v>
      </c>
      <c r="AH40" s="102">
        <f t="shared" si="60"/>
        <v>0.89709465464760063</v>
      </c>
      <c r="AI40" s="102">
        <f t="shared" si="60"/>
        <v>0.9434571543001492</v>
      </c>
      <c r="AJ40" s="102">
        <f t="shared" si="60"/>
        <v>0.99221570141870008</v>
      </c>
      <c r="AK40" s="102">
        <f t="shared" si="60"/>
        <v>1.0434941254667713</v>
      </c>
      <c r="AL40" s="102">
        <f t="shared" si="60"/>
        <v>1.0974226555039879</v>
      </c>
      <c r="AM40" s="102">
        <f t="shared" si="60"/>
        <v>1.1541382509218305</v>
      </c>
      <c r="AN40" s="102">
        <f t="shared" si="60"/>
        <v>1.2137849492720463</v>
      </c>
      <c r="AO40" s="102">
        <f t="shared" si="60"/>
        <v>1.2765142320710834</v>
      </c>
      <c r="AP40" s="102">
        <f t="shared" si="60"/>
        <v>1.3424854095095635</v>
      </c>
      <c r="AQ40" s="102"/>
      <c r="AR40" s="102"/>
      <c r="AS40" s="102"/>
      <c r="AT40" s="102"/>
      <c r="AU40" s="102"/>
      <c r="AV40" s="102"/>
      <c r="AW40" s="102"/>
      <c r="AX40" s="102"/>
      <c r="AY40" s="102"/>
      <c r="AZ40" s="102"/>
      <c r="BA40" s="102"/>
      <c r="BB40" s="102"/>
      <c r="BC40" s="102"/>
      <c r="BD40" s="102"/>
      <c r="BE40" s="102"/>
      <c r="BF40" s="102"/>
      <c r="BG40" s="102"/>
      <c r="BH40" s="102"/>
      <c r="BI40" s="102"/>
    </row>
    <row r="41" spans="1:61" s="17" customFormat="1" hidden="1" outlineLevel="1" x14ac:dyDescent="0.25">
      <c r="A41" s="16" t="str">
        <f t="shared" si="59"/>
        <v>Principal</v>
      </c>
      <c r="B41" s="101">
        <f t="shared" si="13"/>
        <v>13.48257272186156</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f>+AB45-AB43</f>
        <v>0.67994963729018798</v>
      </c>
      <c r="AC41" s="102">
        <f t="shared" si="60"/>
        <v>0.71508992561907148</v>
      </c>
      <c r="AD41" s="102">
        <f t="shared" si="60"/>
        <v>0.75204628942783647</v>
      </c>
      <c r="AE41" s="102">
        <f t="shared" si="60"/>
        <v>0.79091258480889082</v>
      </c>
      <c r="AF41" s="102">
        <f t="shared" si="60"/>
        <v>0.83178751840528242</v>
      </c>
      <c r="AG41" s="102">
        <f t="shared" si="60"/>
        <v>0.87477489809066011</v>
      </c>
      <c r="AH41" s="102">
        <f t="shared" si="60"/>
        <v>0.91998389660455493</v>
      </c>
      <c r="AI41" s="102">
        <f t="shared" si="60"/>
        <v>0.96752932881252396</v>
      </c>
      <c r="AJ41" s="102">
        <f t="shared" si="60"/>
        <v>1.0175319432952981</v>
      </c>
      <c r="AK41" s="102">
        <f t="shared" si="60"/>
        <v>1.0701187290074667</v>
      </c>
      <c r="AL41" s="102">
        <f t="shared" si="60"/>
        <v>1.1254232377845073</v>
      </c>
      <c r="AM41" s="102">
        <f t="shared" si="60"/>
        <v>1.1835859235172081</v>
      </c>
      <c r="AN41" s="102">
        <f t="shared" si="60"/>
        <v>1.2447544988548727</v>
      </c>
      <c r="AO41" s="102">
        <f t="shared" si="60"/>
        <v>1.3090843103432011</v>
      </c>
      <c r="AP41" s="102">
        <f t="shared" si="60"/>
        <v>1.9829027309015142E-16</v>
      </c>
      <c r="AQ41" s="102"/>
      <c r="AR41" s="102"/>
      <c r="AS41" s="102"/>
      <c r="AT41" s="102"/>
      <c r="AU41" s="102"/>
      <c r="AV41" s="102"/>
      <c r="AW41" s="102"/>
      <c r="AX41" s="102"/>
      <c r="AY41" s="102"/>
      <c r="AZ41" s="102"/>
      <c r="BA41" s="102"/>
      <c r="BB41" s="102"/>
      <c r="BC41" s="102"/>
      <c r="BD41" s="102"/>
      <c r="BE41" s="102"/>
      <c r="BF41" s="102"/>
      <c r="BG41" s="102"/>
      <c r="BH41" s="102"/>
      <c r="BI41" s="102"/>
    </row>
    <row r="42" spans="1:61" s="17" customFormat="1" hidden="1" outlineLevel="1" x14ac:dyDescent="0.25">
      <c r="A42" s="16" t="str">
        <f t="shared" si="59"/>
        <v>Interest</v>
      </c>
      <c r="B42" s="101">
        <f t="shared" si="13"/>
        <v>6.8916724490546741</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f>+AA39*(AA$9/2)</f>
        <v>0.73020255241142851</v>
      </c>
      <c r="AB42" s="102">
        <f>+AA47*AA$9/2</f>
        <v>0.71370627412730936</v>
      </c>
      <c r="AC42" s="102">
        <f>+AB47*AA$9/2</f>
        <v>0.67944027779958527</v>
      </c>
      <c r="AD42" s="102">
        <f>+AC47*AA$9/2</f>
        <v>0.64340339003403157</v>
      </c>
      <c r="AE42" s="102">
        <f>+AD47*AA$9/2</f>
        <v>0.60550408988216642</v>
      </c>
      <c r="AF42" s="102">
        <f>+AE47*AA$9/2</f>
        <v>0.56564612652679236</v>
      </c>
      <c r="AG42" s="102">
        <f>+AF47*AA$9/2</f>
        <v>0.52372827483896511</v>
      </c>
      <c r="AH42" s="102">
        <f>+AG47*AA$9/2</f>
        <v>0.47964407830196926</v>
      </c>
      <c r="AI42" s="102">
        <f>+AH47*AA$9/2</f>
        <v>0.43328157864942074</v>
      </c>
      <c r="AJ42" s="102">
        <f>+AI47*AA$9/2</f>
        <v>0.38452303153086992</v>
      </c>
      <c r="AK42" s="102">
        <f>+AJ47*AA$9/2</f>
        <v>0.3332446074827986</v>
      </c>
      <c r="AL42" s="102">
        <f>+AK47*AA$9/2</f>
        <v>0.27931607744558196</v>
      </c>
      <c r="AM42" s="102">
        <f>+AL47*AA$9/2</f>
        <v>0.22260048202773935</v>
      </c>
      <c r="AN42" s="102">
        <f>+AM47*AA$9/2</f>
        <v>0.16295378367752364</v>
      </c>
      <c r="AO42" s="102">
        <f>+AN47*AA$9/2</f>
        <v>0.10022450087848649</v>
      </c>
      <c r="AP42" s="102">
        <f>+AO47*AA$9/2</f>
        <v>3.4253323440006381E-2</v>
      </c>
      <c r="AQ42" s="102"/>
      <c r="AR42" s="102"/>
      <c r="AS42" s="102"/>
      <c r="AT42" s="102"/>
      <c r="AU42" s="102"/>
      <c r="AV42" s="102"/>
      <c r="AW42" s="102"/>
      <c r="AX42" s="102"/>
      <c r="AY42" s="102"/>
      <c r="AZ42" s="102"/>
      <c r="BA42" s="102"/>
      <c r="BB42" s="102"/>
      <c r="BC42" s="102"/>
      <c r="BD42" s="102"/>
      <c r="BE42" s="102"/>
      <c r="BF42" s="102"/>
      <c r="BG42" s="102"/>
      <c r="BH42" s="102"/>
      <c r="BI42" s="102"/>
    </row>
    <row r="43" spans="1:61" s="17" customFormat="1" hidden="1" outlineLevel="1" x14ac:dyDescent="0.25">
      <c r="A43" s="16" t="str">
        <f t="shared" si="59"/>
        <v>Interest</v>
      </c>
      <c r="B43" s="101">
        <f t="shared" si="13"/>
        <v>5.7917695394324173</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f>+AB46*AA$9/2</f>
        <v>0.69678909565938196</v>
      </c>
      <c r="AC43" s="102">
        <f>+AC46*AA$9/2</f>
        <v>0.66164880733049847</v>
      </c>
      <c r="AD43" s="102">
        <f>+AD46*AA$9/2</f>
        <v>0.62469244352173348</v>
      </c>
      <c r="AE43" s="102">
        <f>+AE46*AA$9/2</f>
        <v>0.58582614814067913</v>
      </c>
      <c r="AF43" s="102">
        <f>+AF46*AA$9/2</f>
        <v>0.54495121454428752</v>
      </c>
      <c r="AG43" s="102">
        <f>+AG46*AA$9/2</f>
        <v>0.50196383485890983</v>
      </c>
      <c r="AH43" s="102">
        <f>+AH46*AA$9/2</f>
        <v>0.45675483634501501</v>
      </c>
      <c r="AI43" s="102">
        <f>+AI46*AA$9/2</f>
        <v>0.40920940413704593</v>
      </c>
      <c r="AJ43" s="102">
        <f>+AJ46*AA$9/2</f>
        <v>0.35920678965427194</v>
      </c>
      <c r="AK43" s="102">
        <f>+AK46*AA$9/2</f>
        <v>0.30662000394210331</v>
      </c>
      <c r="AL43" s="102">
        <f>+AL46*AA$9/2</f>
        <v>0.2513154951650628</v>
      </c>
      <c r="AM43" s="102">
        <f>+AM46*AA$9/2</f>
        <v>0.19315280943236185</v>
      </c>
      <c r="AN43" s="102">
        <f>+AN46*AA$9/2</f>
        <v>0.13198423409469728</v>
      </c>
      <c r="AO43" s="102">
        <f>+AO46*AA$9/2</f>
        <v>6.7654422606368808E-2</v>
      </c>
      <c r="AP43" s="102">
        <f>+AP46*AA$9/2</f>
        <v>-1.9829027309015142E-16</v>
      </c>
      <c r="AQ43" s="102"/>
      <c r="AR43" s="102"/>
      <c r="AS43" s="102"/>
      <c r="AT43" s="102"/>
      <c r="AU43" s="102"/>
      <c r="AV43" s="102"/>
      <c r="AW43" s="102"/>
      <c r="AX43" s="102"/>
      <c r="AY43" s="102"/>
      <c r="AZ43" s="102"/>
      <c r="BA43" s="102"/>
      <c r="BB43" s="102"/>
      <c r="BC43" s="102"/>
      <c r="BD43" s="102"/>
      <c r="BE43" s="102"/>
      <c r="BF43" s="102"/>
      <c r="BG43" s="102"/>
      <c r="BH43" s="102"/>
      <c r="BI43" s="102"/>
    </row>
    <row r="44" spans="1:61" s="17" customFormat="1" hidden="1" outlineLevel="1" x14ac:dyDescent="0.25">
      <c r="A44" s="16" t="str">
        <f t="shared" si="59"/>
        <v xml:space="preserve">Debt Servicing </v>
      </c>
      <c r="B44" s="101">
        <f t="shared" si="13"/>
        <v>22.027819727193112</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f>-PMT($AA$9/2,$AA$10*2,AA39)</f>
        <v>1.3767387329495699</v>
      </c>
      <c r="AB44" s="102">
        <f t="shared" ref="AB44:AP44" si="61">+AA44</f>
        <v>1.3767387329495699</v>
      </c>
      <c r="AC44" s="102">
        <f t="shared" si="61"/>
        <v>1.3767387329495699</v>
      </c>
      <c r="AD44" s="102">
        <f t="shared" si="61"/>
        <v>1.3767387329495699</v>
      </c>
      <c r="AE44" s="102">
        <f t="shared" si="61"/>
        <v>1.3767387329495699</v>
      </c>
      <c r="AF44" s="102">
        <f t="shared" si="61"/>
        <v>1.3767387329495699</v>
      </c>
      <c r="AG44" s="102">
        <f t="shared" si="61"/>
        <v>1.3767387329495699</v>
      </c>
      <c r="AH44" s="102">
        <f t="shared" si="61"/>
        <v>1.3767387329495699</v>
      </c>
      <c r="AI44" s="102">
        <f t="shared" si="61"/>
        <v>1.3767387329495699</v>
      </c>
      <c r="AJ44" s="102">
        <f t="shared" si="61"/>
        <v>1.3767387329495699</v>
      </c>
      <c r="AK44" s="102">
        <f t="shared" si="61"/>
        <v>1.3767387329495699</v>
      </c>
      <c r="AL44" s="102">
        <f t="shared" si="61"/>
        <v>1.3767387329495699</v>
      </c>
      <c r="AM44" s="102">
        <f t="shared" si="61"/>
        <v>1.3767387329495699</v>
      </c>
      <c r="AN44" s="102">
        <f t="shared" si="61"/>
        <v>1.3767387329495699</v>
      </c>
      <c r="AO44" s="102">
        <f t="shared" si="61"/>
        <v>1.3767387329495699</v>
      </c>
      <c r="AP44" s="102">
        <f t="shared" si="61"/>
        <v>1.3767387329495699</v>
      </c>
      <c r="AQ44" s="102"/>
      <c r="AR44" s="102"/>
      <c r="AS44" s="102"/>
      <c r="AT44" s="102"/>
      <c r="AU44" s="102"/>
      <c r="AV44" s="102"/>
      <c r="AW44" s="102"/>
      <c r="AX44" s="102"/>
      <c r="AY44" s="102"/>
      <c r="AZ44" s="102"/>
      <c r="BA44" s="102"/>
      <c r="BB44" s="102"/>
      <c r="BC44" s="102"/>
      <c r="BD44" s="102"/>
      <c r="BE44" s="102"/>
      <c r="BF44" s="102"/>
      <c r="BG44" s="102"/>
      <c r="BH44" s="102"/>
      <c r="BI44" s="102"/>
    </row>
    <row r="45" spans="1:61" s="17" customFormat="1" hidden="1" outlineLevel="1" x14ac:dyDescent="0.25">
      <c r="A45" s="16" t="str">
        <f t="shared" si="59"/>
        <v xml:space="preserve">Debt Servicing </v>
      </c>
      <c r="B45" s="101">
        <f t="shared" si="13"/>
        <v>19.274342261293974</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f t="shared" ref="AB45:AO45" si="62">+AB44</f>
        <v>1.3767387329495699</v>
      </c>
      <c r="AC45" s="102">
        <f t="shared" si="62"/>
        <v>1.3767387329495699</v>
      </c>
      <c r="AD45" s="102">
        <f t="shared" si="62"/>
        <v>1.3767387329495699</v>
      </c>
      <c r="AE45" s="102">
        <f t="shared" si="62"/>
        <v>1.3767387329495699</v>
      </c>
      <c r="AF45" s="102">
        <f t="shared" si="62"/>
        <v>1.3767387329495699</v>
      </c>
      <c r="AG45" s="102">
        <f t="shared" si="62"/>
        <v>1.3767387329495699</v>
      </c>
      <c r="AH45" s="102">
        <f t="shared" si="62"/>
        <v>1.3767387329495699</v>
      </c>
      <c r="AI45" s="102">
        <f t="shared" si="62"/>
        <v>1.3767387329495699</v>
      </c>
      <c r="AJ45" s="102">
        <f t="shared" si="62"/>
        <v>1.3767387329495699</v>
      </c>
      <c r="AK45" s="102">
        <f t="shared" si="62"/>
        <v>1.3767387329495699</v>
      </c>
      <c r="AL45" s="102">
        <f t="shared" si="62"/>
        <v>1.3767387329495699</v>
      </c>
      <c r="AM45" s="102">
        <f t="shared" si="62"/>
        <v>1.3767387329495699</v>
      </c>
      <c r="AN45" s="102">
        <f t="shared" si="62"/>
        <v>1.3767387329495699</v>
      </c>
      <c r="AO45" s="102">
        <f t="shared" si="62"/>
        <v>1.3767387329495699</v>
      </c>
      <c r="AP45" s="102"/>
      <c r="AQ45" s="102"/>
      <c r="AR45" s="102"/>
      <c r="AS45" s="102"/>
      <c r="AT45" s="102"/>
      <c r="AU45" s="102"/>
      <c r="AV45" s="102"/>
      <c r="AW45" s="102"/>
      <c r="AX45" s="102"/>
      <c r="AY45" s="102"/>
      <c r="AZ45" s="102"/>
      <c r="BA45" s="102"/>
      <c r="BB45" s="102"/>
      <c r="BC45" s="102"/>
      <c r="BD45" s="102"/>
      <c r="BE45" s="102"/>
      <c r="BF45" s="102"/>
      <c r="BG45" s="102"/>
      <c r="BH45" s="102"/>
      <c r="BI45" s="102"/>
    </row>
    <row r="46" spans="1:61" s="17" customFormat="1" hidden="1" outlineLevel="1" x14ac:dyDescent="0.25">
      <c r="A46" s="16" t="str">
        <f t="shared" si="59"/>
        <v>Balance mid year</v>
      </c>
      <c r="B46" s="101">
        <f t="shared" si="13"/>
        <v>226.99596188230348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v>0</v>
      </c>
      <c r="AB46" s="102">
        <f t="shared" ref="AB46:AP46" si="63">+AA47-AB40</f>
        <v>27.3091513606396</v>
      </c>
      <c r="AC46" s="102">
        <f t="shared" si="63"/>
        <v>25.931903268199427</v>
      </c>
      <c r="AD46" s="102">
        <f t="shared" si="63"/>
        <v>24.483477999664817</v>
      </c>
      <c r="AE46" s="102">
        <f t="shared" si="63"/>
        <v>22.960197067169574</v>
      </c>
      <c r="AF46" s="102">
        <f t="shared" si="63"/>
        <v>21.358191875937905</v>
      </c>
      <c r="AG46" s="102">
        <f t="shared" si="63"/>
        <v>19.673393899422017</v>
      </c>
      <c r="AH46" s="102">
        <f t="shared" si="63"/>
        <v>17.901524346683757</v>
      </c>
      <c r="AI46" s="102">
        <f t="shared" si="63"/>
        <v>16.038083295779053</v>
      </c>
      <c r="AJ46" s="102">
        <f t="shared" si="63"/>
        <v>14.078338265547828</v>
      </c>
      <c r="AK46" s="102">
        <f t="shared" si="63"/>
        <v>12.017312196785758</v>
      </c>
      <c r="AL46" s="102">
        <f t="shared" si="63"/>
        <v>9.8497708122743042</v>
      </c>
      <c r="AM46" s="102">
        <f t="shared" si="63"/>
        <v>7.5702093235679673</v>
      </c>
      <c r="AN46" s="102">
        <f t="shared" si="63"/>
        <v>5.1728384507787126</v>
      </c>
      <c r="AO46" s="102">
        <f t="shared" si="63"/>
        <v>2.6515697198527568</v>
      </c>
      <c r="AP46" s="102">
        <f t="shared" si="63"/>
        <v>-7.7715611723760958E-15</v>
      </c>
      <c r="AQ46" s="102"/>
      <c r="AR46" s="102"/>
      <c r="AS46" s="102"/>
      <c r="AT46" s="102"/>
      <c r="AU46" s="102"/>
      <c r="AV46" s="102"/>
      <c r="AW46" s="102"/>
      <c r="AX46" s="102"/>
      <c r="AY46" s="102"/>
      <c r="AZ46" s="102"/>
      <c r="BA46" s="102"/>
      <c r="BB46" s="102"/>
      <c r="BC46" s="102"/>
      <c r="BD46" s="102"/>
      <c r="BE46" s="102"/>
      <c r="BF46" s="102"/>
      <c r="BG46" s="102"/>
      <c r="BH46" s="102"/>
      <c r="BI46" s="102"/>
    </row>
    <row r="47" spans="1:61" s="17" customFormat="1" hidden="1" outlineLevel="1" x14ac:dyDescent="0.25">
      <c r="A47" s="16" t="str">
        <f t="shared" si="59"/>
        <v>Balance</v>
      </c>
      <c r="B47" s="101">
        <f t="shared" si="13"/>
        <v>241.48557297990371</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f>+AA39-AA40</f>
        <v>27.972183819461861</v>
      </c>
      <c r="AB47" s="102">
        <f t="shared" ref="AB47:AP47" si="64">+AB46-AB41</f>
        <v>26.629201723349411</v>
      </c>
      <c r="AC47" s="102">
        <f t="shared" si="64"/>
        <v>25.216813342580355</v>
      </c>
      <c r="AD47" s="102">
        <f t="shared" si="64"/>
        <v>23.731431710236979</v>
      </c>
      <c r="AE47" s="102">
        <f t="shared" si="64"/>
        <v>22.169284482360684</v>
      </c>
      <c r="AF47" s="102">
        <f t="shared" si="64"/>
        <v>20.526404357532623</v>
      </c>
      <c r="AG47" s="102">
        <f t="shared" si="64"/>
        <v>18.798619001331357</v>
      </c>
      <c r="AH47" s="102">
        <f t="shared" si="64"/>
        <v>16.981540450079201</v>
      </c>
      <c r="AI47" s="102">
        <f t="shared" si="64"/>
        <v>15.070553966966528</v>
      </c>
      <c r="AJ47" s="102">
        <f t="shared" si="64"/>
        <v>13.06080632225253</v>
      </c>
      <c r="AK47" s="102">
        <f t="shared" si="64"/>
        <v>10.947193467778291</v>
      </c>
      <c r="AL47" s="102">
        <f t="shared" si="64"/>
        <v>8.7243475744897978</v>
      </c>
      <c r="AM47" s="102">
        <f t="shared" si="64"/>
        <v>6.3866234000507589</v>
      </c>
      <c r="AN47" s="102">
        <f t="shared" si="64"/>
        <v>3.9280839519238402</v>
      </c>
      <c r="AO47" s="102">
        <f t="shared" si="64"/>
        <v>1.3424854095095557</v>
      </c>
      <c r="AP47" s="102">
        <f t="shared" si="64"/>
        <v>-7.9698514454662472E-15</v>
      </c>
      <c r="AQ47" s="102"/>
      <c r="AR47" s="102"/>
      <c r="AS47" s="102"/>
      <c r="AT47" s="102"/>
      <c r="AU47" s="102"/>
      <c r="AV47" s="102"/>
      <c r="AW47" s="102"/>
      <c r="AX47" s="102"/>
      <c r="AY47" s="102"/>
      <c r="AZ47" s="102"/>
      <c r="BA47" s="102"/>
      <c r="BB47" s="102"/>
      <c r="BC47" s="102"/>
      <c r="BD47" s="102"/>
      <c r="BE47" s="102"/>
      <c r="BF47" s="102"/>
      <c r="BG47" s="102"/>
      <c r="BH47" s="102"/>
      <c r="BI47" s="102"/>
    </row>
    <row r="48" spans="1:61" s="17" customFormat="1" hidden="1" outlineLevel="1" x14ac:dyDescent="0.25">
      <c r="A48" s="16"/>
      <c r="B48" s="10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row>
    <row r="49" spans="1:61" hidden="1" outlineLevel="1" x14ac:dyDescent="0.25">
      <c r="A49" s="20" t="str">
        <f t="shared" ref="A49:A57" si="65">A39</f>
        <v>Debt Forecasted</v>
      </c>
      <c r="B49" s="101">
        <f t="shared" ref="B49:B133" si="66">SUM(C49:BB49)</f>
        <v>0</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f>+AB$8</f>
        <v>0</v>
      </c>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row>
    <row r="50" spans="1:61" s="17" customFormat="1" hidden="1" outlineLevel="1" x14ac:dyDescent="0.25">
      <c r="A50" s="16" t="str">
        <f t="shared" si="65"/>
        <v>Principal</v>
      </c>
      <c r="B50" s="101">
        <f t="shared" si="66"/>
        <v>0</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f>+AB54-AB52</f>
        <v>0</v>
      </c>
      <c r="AC50" s="102">
        <f>+AC54-AC52</f>
        <v>0</v>
      </c>
      <c r="AD50" s="102">
        <f t="shared" ref="AD50:AQ51" si="67">+AD54-AD52</f>
        <v>0</v>
      </c>
      <c r="AE50" s="102">
        <f t="shared" si="67"/>
        <v>0</v>
      </c>
      <c r="AF50" s="102">
        <f t="shared" si="67"/>
        <v>0</v>
      </c>
      <c r="AG50" s="102">
        <f t="shared" si="67"/>
        <v>0</v>
      </c>
      <c r="AH50" s="102">
        <f t="shared" si="67"/>
        <v>0</v>
      </c>
      <c r="AI50" s="102">
        <f t="shared" si="67"/>
        <v>0</v>
      </c>
      <c r="AJ50" s="102">
        <f t="shared" si="67"/>
        <v>0</v>
      </c>
      <c r="AK50" s="102">
        <f t="shared" si="67"/>
        <v>0</v>
      </c>
      <c r="AL50" s="102">
        <f t="shared" si="67"/>
        <v>0</v>
      </c>
      <c r="AM50" s="102">
        <f t="shared" si="67"/>
        <v>0</v>
      </c>
      <c r="AN50" s="102">
        <f t="shared" si="67"/>
        <v>0</v>
      </c>
      <c r="AO50" s="102">
        <f t="shared" si="67"/>
        <v>0</v>
      </c>
      <c r="AP50" s="102">
        <f t="shared" si="67"/>
        <v>0</v>
      </c>
      <c r="AQ50" s="102">
        <f t="shared" si="67"/>
        <v>0</v>
      </c>
      <c r="AR50" s="102"/>
      <c r="AS50" s="102"/>
      <c r="AT50" s="102"/>
      <c r="AU50" s="102"/>
      <c r="AV50" s="102"/>
      <c r="AW50" s="102"/>
      <c r="AX50" s="102"/>
      <c r="AY50" s="102"/>
      <c r="AZ50" s="102"/>
      <c r="BA50" s="102"/>
      <c r="BB50" s="102"/>
      <c r="BC50" s="102"/>
      <c r="BD50" s="102"/>
      <c r="BE50" s="102"/>
      <c r="BF50" s="102"/>
      <c r="BG50" s="102"/>
      <c r="BH50" s="102"/>
      <c r="BI50" s="102"/>
    </row>
    <row r="51" spans="1:61" s="17" customFormat="1" hidden="1" outlineLevel="1" x14ac:dyDescent="0.25">
      <c r="A51" s="16" t="str">
        <f t="shared" si="65"/>
        <v>Principal</v>
      </c>
      <c r="B51" s="101">
        <f t="shared" si="66"/>
        <v>0</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f>+AC55-AC53</f>
        <v>0</v>
      </c>
      <c r="AD51" s="102">
        <f t="shared" si="67"/>
        <v>0</v>
      </c>
      <c r="AE51" s="102">
        <f t="shared" si="67"/>
        <v>0</v>
      </c>
      <c r="AF51" s="102">
        <f t="shared" si="67"/>
        <v>0</v>
      </c>
      <c r="AG51" s="102">
        <f t="shared" si="67"/>
        <v>0</v>
      </c>
      <c r="AH51" s="102">
        <f t="shared" si="67"/>
        <v>0</v>
      </c>
      <c r="AI51" s="102">
        <f t="shared" si="67"/>
        <v>0</v>
      </c>
      <c r="AJ51" s="102">
        <f t="shared" si="67"/>
        <v>0</v>
      </c>
      <c r="AK51" s="102">
        <f t="shared" si="67"/>
        <v>0</v>
      </c>
      <c r="AL51" s="102">
        <f t="shared" si="67"/>
        <v>0</v>
      </c>
      <c r="AM51" s="102">
        <f t="shared" si="67"/>
        <v>0</v>
      </c>
      <c r="AN51" s="102">
        <f t="shared" si="67"/>
        <v>0</v>
      </c>
      <c r="AO51" s="102">
        <f t="shared" si="67"/>
        <v>0</v>
      </c>
      <c r="AP51" s="102">
        <f t="shared" si="67"/>
        <v>0</v>
      </c>
      <c r="AQ51" s="102">
        <f t="shared" si="67"/>
        <v>0</v>
      </c>
      <c r="AR51" s="102"/>
      <c r="AS51" s="102"/>
      <c r="AT51" s="102"/>
      <c r="AU51" s="102"/>
      <c r="AV51" s="102"/>
      <c r="AW51" s="102"/>
      <c r="AX51" s="102"/>
      <c r="AY51" s="102"/>
      <c r="AZ51" s="102"/>
      <c r="BA51" s="102"/>
      <c r="BB51" s="102"/>
      <c r="BC51" s="102"/>
      <c r="BD51" s="102"/>
      <c r="BE51" s="102"/>
      <c r="BF51" s="102"/>
      <c r="BG51" s="102"/>
      <c r="BH51" s="102"/>
      <c r="BI51" s="102"/>
    </row>
    <row r="52" spans="1:61" s="17" customFormat="1" hidden="1" outlineLevel="1" x14ac:dyDescent="0.25">
      <c r="A52" s="16" t="str">
        <f t="shared" si="65"/>
        <v>Interest</v>
      </c>
      <c r="B52" s="101">
        <f t="shared" si="66"/>
        <v>0</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f>+AB49*(AB$9/2)</f>
        <v>0</v>
      </c>
      <c r="AC52" s="102">
        <f>+AB57*AB$9/2</f>
        <v>0</v>
      </c>
      <c r="AD52" s="102">
        <f>+AC57*AB$9/2</f>
        <v>0</v>
      </c>
      <c r="AE52" s="102">
        <f>+AD57*AB$9/2</f>
        <v>0</v>
      </c>
      <c r="AF52" s="102">
        <f>+AE57*AB$9/2</f>
        <v>0</v>
      </c>
      <c r="AG52" s="102">
        <f>+AF57*AB$9/2</f>
        <v>0</v>
      </c>
      <c r="AH52" s="102">
        <f>+AG57*AB$9/2</f>
        <v>0</v>
      </c>
      <c r="AI52" s="102">
        <f>+AH57*AB$9/2</f>
        <v>0</v>
      </c>
      <c r="AJ52" s="102">
        <f>+AI57*AB$9/2</f>
        <v>0</v>
      </c>
      <c r="AK52" s="102">
        <f>+AJ57*AB$9/2</f>
        <v>0</v>
      </c>
      <c r="AL52" s="102">
        <f>+AK57*AB$9/2</f>
        <v>0</v>
      </c>
      <c r="AM52" s="102">
        <f>+AL57*AB$9/2</f>
        <v>0</v>
      </c>
      <c r="AN52" s="102">
        <f>+AM57*AB$9/2</f>
        <v>0</v>
      </c>
      <c r="AO52" s="102">
        <f>+AN57*AB$9/2</f>
        <v>0</v>
      </c>
      <c r="AP52" s="102">
        <f>+AO57*AB$9/2</f>
        <v>0</v>
      </c>
      <c r="AQ52" s="102">
        <f>+AP57*AB$9/2</f>
        <v>0</v>
      </c>
      <c r="AR52" s="102"/>
      <c r="AS52" s="102"/>
      <c r="AT52" s="102"/>
      <c r="AU52" s="102"/>
      <c r="AV52" s="102"/>
      <c r="AW52" s="102"/>
      <c r="AX52" s="102"/>
      <c r="AY52" s="102"/>
      <c r="AZ52" s="102"/>
      <c r="BA52" s="102"/>
      <c r="BB52" s="102"/>
      <c r="BC52" s="102"/>
      <c r="BD52" s="102"/>
      <c r="BE52" s="102"/>
      <c r="BF52" s="102"/>
      <c r="BG52" s="102"/>
      <c r="BH52" s="102"/>
      <c r="BI52" s="102"/>
    </row>
    <row r="53" spans="1:61" s="17" customFormat="1" hidden="1" outlineLevel="1" x14ac:dyDescent="0.25">
      <c r="A53" s="16" t="str">
        <f t="shared" si="65"/>
        <v>Interest</v>
      </c>
      <c r="B53" s="101">
        <f t="shared" si="66"/>
        <v>0</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f>+AC56*AB$9/2</f>
        <v>0</v>
      </c>
      <c r="AD53" s="102">
        <f>+AD56*AB$9/2</f>
        <v>0</v>
      </c>
      <c r="AE53" s="102">
        <f>+AE56*AB$9/2</f>
        <v>0</v>
      </c>
      <c r="AF53" s="102">
        <f>+AF56*AB$9/2</f>
        <v>0</v>
      </c>
      <c r="AG53" s="102">
        <f>+AG56*AB$9/2</f>
        <v>0</v>
      </c>
      <c r="AH53" s="102">
        <f>+AH56*AB$9/2</f>
        <v>0</v>
      </c>
      <c r="AI53" s="102">
        <f>+AI56*AB$9/2</f>
        <v>0</v>
      </c>
      <c r="AJ53" s="102">
        <f>+AJ56*AB$9/2</f>
        <v>0</v>
      </c>
      <c r="AK53" s="102">
        <f>+AK56*AB$9/2</f>
        <v>0</v>
      </c>
      <c r="AL53" s="102">
        <f>+AL56*AB$9/2</f>
        <v>0</v>
      </c>
      <c r="AM53" s="102">
        <f>+AM56*AB$9/2</f>
        <v>0</v>
      </c>
      <c r="AN53" s="102">
        <f>+AN56*AB$9/2</f>
        <v>0</v>
      </c>
      <c r="AO53" s="102">
        <f>+AO56*AB$9/2</f>
        <v>0</v>
      </c>
      <c r="AP53" s="102">
        <f>+AP56*AB$9/2</f>
        <v>0</v>
      </c>
      <c r="AQ53" s="102">
        <f>+AQ56*AB$9/2</f>
        <v>0</v>
      </c>
      <c r="AR53" s="102"/>
      <c r="AS53" s="102"/>
      <c r="AT53" s="102"/>
      <c r="AU53" s="102"/>
      <c r="AV53" s="102"/>
      <c r="AW53" s="102"/>
      <c r="AX53" s="102"/>
      <c r="AY53" s="102"/>
      <c r="AZ53" s="102"/>
      <c r="BA53" s="102"/>
      <c r="BB53" s="102"/>
      <c r="BC53" s="102"/>
      <c r="BD53" s="102"/>
      <c r="BE53" s="102"/>
      <c r="BF53" s="102"/>
      <c r="BG53" s="102"/>
      <c r="BH53" s="102"/>
      <c r="BI53" s="102"/>
    </row>
    <row r="54" spans="1:61" s="17" customFormat="1" hidden="1" outlineLevel="1" x14ac:dyDescent="0.25">
      <c r="A54" s="16" t="str">
        <f t="shared" si="65"/>
        <v xml:space="preserve">Debt Servicing </v>
      </c>
      <c r="B54" s="101">
        <f t="shared" si="66"/>
        <v>0</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f>-PMT($AB$9/2,$AB$10*2,AB49)</f>
        <v>0</v>
      </c>
      <c r="AC54" s="102">
        <f t="shared" ref="AC54:AQ54" si="68">+AB54</f>
        <v>0</v>
      </c>
      <c r="AD54" s="102">
        <f t="shared" si="68"/>
        <v>0</v>
      </c>
      <c r="AE54" s="102">
        <f t="shared" si="68"/>
        <v>0</v>
      </c>
      <c r="AF54" s="102">
        <f t="shared" si="68"/>
        <v>0</v>
      </c>
      <c r="AG54" s="102">
        <f t="shared" si="68"/>
        <v>0</v>
      </c>
      <c r="AH54" s="102">
        <f t="shared" si="68"/>
        <v>0</v>
      </c>
      <c r="AI54" s="102">
        <f t="shared" si="68"/>
        <v>0</v>
      </c>
      <c r="AJ54" s="102">
        <f t="shared" si="68"/>
        <v>0</v>
      </c>
      <c r="AK54" s="102">
        <f t="shared" si="68"/>
        <v>0</v>
      </c>
      <c r="AL54" s="102">
        <f t="shared" si="68"/>
        <v>0</v>
      </c>
      <c r="AM54" s="102">
        <f t="shared" si="68"/>
        <v>0</v>
      </c>
      <c r="AN54" s="102">
        <f t="shared" si="68"/>
        <v>0</v>
      </c>
      <c r="AO54" s="102">
        <f t="shared" si="68"/>
        <v>0</v>
      </c>
      <c r="AP54" s="102">
        <f t="shared" si="68"/>
        <v>0</v>
      </c>
      <c r="AQ54" s="102">
        <f t="shared" si="68"/>
        <v>0</v>
      </c>
      <c r="AR54" s="102"/>
      <c r="AS54" s="102"/>
      <c r="AT54" s="102"/>
      <c r="AU54" s="102"/>
      <c r="AV54" s="102"/>
      <c r="AW54" s="102"/>
      <c r="AX54" s="102"/>
      <c r="AY54" s="102"/>
      <c r="AZ54" s="102"/>
      <c r="BA54" s="102"/>
      <c r="BB54" s="102"/>
      <c r="BC54" s="102"/>
      <c r="BD54" s="102"/>
      <c r="BE54" s="102"/>
      <c r="BF54" s="102"/>
      <c r="BG54" s="102"/>
      <c r="BH54" s="102"/>
      <c r="BI54" s="102"/>
    </row>
    <row r="55" spans="1:61" s="17" customFormat="1" hidden="1" outlineLevel="1" x14ac:dyDescent="0.25">
      <c r="A55" s="16" t="str">
        <f t="shared" si="65"/>
        <v xml:space="preserve">Debt Servicing </v>
      </c>
      <c r="B55" s="101">
        <f t="shared" si="66"/>
        <v>0</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f t="shared" ref="AC55:AP55" si="69">+AC54</f>
        <v>0</v>
      </c>
      <c r="AD55" s="102">
        <f t="shared" si="69"/>
        <v>0</v>
      </c>
      <c r="AE55" s="102">
        <f t="shared" si="69"/>
        <v>0</v>
      </c>
      <c r="AF55" s="102">
        <f t="shared" si="69"/>
        <v>0</v>
      </c>
      <c r="AG55" s="102">
        <f t="shared" si="69"/>
        <v>0</v>
      </c>
      <c r="AH55" s="102">
        <f t="shared" si="69"/>
        <v>0</v>
      </c>
      <c r="AI55" s="102">
        <f t="shared" si="69"/>
        <v>0</v>
      </c>
      <c r="AJ55" s="102">
        <f t="shared" si="69"/>
        <v>0</v>
      </c>
      <c r="AK55" s="102">
        <f t="shared" si="69"/>
        <v>0</v>
      </c>
      <c r="AL55" s="102">
        <f t="shared" si="69"/>
        <v>0</v>
      </c>
      <c r="AM55" s="102">
        <f t="shared" si="69"/>
        <v>0</v>
      </c>
      <c r="AN55" s="102">
        <f t="shared" si="69"/>
        <v>0</v>
      </c>
      <c r="AO55" s="102">
        <f t="shared" si="69"/>
        <v>0</v>
      </c>
      <c r="AP55" s="102">
        <f t="shared" si="69"/>
        <v>0</v>
      </c>
      <c r="AQ55" s="102"/>
      <c r="AR55" s="102"/>
      <c r="AS55" s="102"/>
      <c r="AT55" s="102"/>
      <c r="AU55" s="102"/>
      <c r="AV55" s="102"/>
      <c r="AW55" s="102"/>
      <c r="AX55" s="102"/>
      <c r="AY55" s="102"/>
      <c r="AZ55" s="102"/>
      <c r="BA55" s="102"/>
      <c r="BB55" s="102"/>
      <c r="BC55" s="102"/>
      <c r="BD55" s="102"/>
      <c r="BE55" s="102"/>
      <c r="BF55" s="102"/>
      <c r="BG55" s="102"/>
      <c r="BH55" s="102"/>
      <c r="BI55" s="102"/>
    </row>
    <row r="56" spans="1:61" s="17" customFormat="1" hidden="1" outlineLevel="1" x14ac:dyDescent="0.25">
      <c r="A56" s="16" t="str">
        <f t="shared" si="65"/>
        <v>Balance mid year</v>
      </c>
      <c r="B56" s="101">
        <f t="shared" si="66"/>
        <v>0</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v>0</v>
      </c>
      <c r="AC56" s="102">
        <f t="shared" ref="AC56:AQ56" si="70">+AB57-AC50</f>
        <v>0</v>
      </c>
      <c r="AD56" s="102">
        <f t="shared" si="70"/>
        <v>0</v>
      </c>
      <c r="AE56" s="102">
        <f t="shared" si="70"/>
        <v>0</v>
      </c>
      <c r="AF56" s="102">
        <f t="shared" si="70"/>
        <v>0</v>
      </c>
      <c r="AG56" s="102">
        <f t="shared" si="70"/>
        <v>0</v>
      </c>
      <c r="AH56" s="102">
        <f t="shared" si="70"/>
        <v>0</v>
      </c>
      <c r="AI56" s="102">
        <f t="shared" si="70"/>
        <v>0</v>
      </c>
      <c r="AJ56" s="102">
        <f t="shared" si="70"/>
        <v>0</v>
      </c>
      <c r="AK56" s="102">
        <f t="shared" si="70"/>
        <v>0</v>
      </c>
      <c r="AL56" s="102">
        <f t="shared" si="70"/>
        <v>0</v>
      </c>
      <c r="AM56" s="102">
        <f t="shared" si="70"/>
        <v>0</v>
      </c>
      <c r="AN56" s="102">
        <f t="shared" si="70"/>
        <v>0</v>
      </c>
      <c r="AO56" s="102">
        <f t="shared" si="70"/>
        <v>0</v>
      </c>
      <c r="AP56" s="102">
        <f t="shared" si="70"/>
        <v>0</v>
      </c>
      <c r="AQ56" s="102">
        <f t="shared" si="70"/>
        <v>0</v>
      </c>
      <c r="AR56" s="102"/>
      <c r="AS56" s="102"/>
      <c r="AT56" s="102"/>
      <c r="AU56" s="102"/>
      <c r="AV56" s="102"/>
      <c r="AW56" s="102"/>
      <c r="AX56" s="102"/>
      <c r="AY56" s="102"/>
      <c r="AZ56" s="102"/>
      <c r="BA56" s="102"/>
      <c r="BB56" s="102"/>
      <c r="BC56" s="102"/>
      <c r="BD56" s="102"/>
      <c r="BE56" s="102"/>
      <c r="BF56" s="102"/>
      <c r="BG56" s="102"/>
      <c r="BH56" s="102"/>
      <c r="BI56" s="102"/>
    </row>
    <row r="57" spans="1:61" s="17" customFormat="1" hidden="1" outlineLevel="1" x14ac:dyDescent="0.25">
      <c r="A57" s="16" t="str">
        <f t="shared" si="65"/>
        <v>Balance</v>
      </c>
      <c r="B57" s="101">
        <f t="shared" si="66"/>
        <v>0</v>
      </c>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f>+AB49-AB50</f>
        <v>0</v>
      </c>
      <c r="AC57" s="102">
        <f t="shared" ref="AC57:AQ57" si="71">+AC56-AC51</f>
        <v>0</v>
      </c>
      <c r="AD57" s="102">
        <f t="shared" si="71"/>
        <v>0</v>
      </c>
      <c r="AE57" s="102">
        <f t="shared" si="71"/>
        <v>0</v>
      </c>
      <c r="AF57" s="102">
        <f t="shared" si="71"/>
        <v>0</v>
      </c>
      <c r="AG57" s="102">
        <f t="shared" si="71"/>
        <v>0</v>
      </c>
      <c r="AH57" s="102">
        <f t="shared" si="71"/>
        <v>0</v>
      </c>
      <c r="AI57" s="102">
        <f t="shared" si="71"/>
        <v>0</v>
      </c>
      <c r="AJ57" s="102">
        <f t="shared" si="71"/>
        <v>0</v>
      </c>
      <c r="AK57" s="102">
        <f t="shared" si="71"/>
        <v>0</v>
      </c>
      <c r="AL57" s="102">
        <f t="shared" si="71"/>
        <v>0</v>
      </c>
      <c r="AM57" s="102">
        <f t="shared" si="71"/>
        <v>0</v>
      </c>
      <c r="AN57" s="102">
        <f t="shared" si="71"/>
        <v>0</v>
      </c>
      <c r="AO57" s="102">
        <f t="shared" si="71"/>
        <v>0</v>
      </c>
      <c r="AP57" s="102">
        <f t="shared" si="71"/>
        <v>0</v>
      </c>
      <c r="AQ57" s="102">
        <f t="shared" si="71"/>
        <v>0</v>
      </c>
      <c r="AR57" s="102"/>
      <c r="AS57" s="102"/>
      <c r="AT57" s="102"/>
      <c r="AU57" s="102"/>
      <c r="AV57" s="102"/>
      <c r="AW57" s="102"/>
      <c r="AX57" s="102"/>
      <c r="AY57" s="102"/>
      <c r="AZ57" s="102"/>
      <c r="BA57" s="102"/>
      <c r="BB57" s="102"/>
      <c r="BC57" s="102"/>
      <c r="BD57" s="102"/>
      <c r="BE57" s="102"/>
      <c r="BF57" s="102"/>
      <c r="BG57" s="102"/>
      <c r="BH57" s="102"/>
      <c r="BI57" s="102"/>
    </row>
    <row r="58" spans="1:61" s="17" customFormat="1" hidden="1" outlineLevel="1" x14ac:dyDescent="0.25">
      <c r="A58" s="16"/>
      <c r="B58" s="101">
        <f t="shared" si="66"/>
        <v>0</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row>
    <row r="59" spans="1:61" hidden="1" outlineLevel="1" x14ac:dyDescent="0.25">
      <c r="A59" s="20" t="str">
        <f t="shared" ref="A59:A67" si="72">A49</f>
        <v>Debt Forecasted</v>
      </c>
      <c r="B59" s="101">
        <f t="shared" si="66"/>
        <v>0</v>
      </c>
      <c r="C59" s="102">
        <v>0</v>
      </c>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f>+AC$8</f>
        <v>0</v>
      </c>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row>
    <row r="60" spans="1:61" s="17" customFormat="1" hidden="1" outlineLevel="1" x14ac:dyDescent="0.25">
      <c r="A60" s="16" t="str">
        <f t="shared" si="72"/>
        <v>Principal</v>
      </c>
      <c r="B60" s="101">
        <f t="shared" si="66"/>
        <v>0</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f>+AC64-AC62</f>
        <v>0</v>
      </c>
      <c r="AD60" s="102">
        <f>+AD64-AD62</f>
        <v>0</v>
      </c>
      <c r="AE60" s="102">
        <f t="shared" ref="AE60:AR61" si="73">+AE64-AE62</f>
        <v>0</v>
      </c>
      <c r="AF60" s="102">
        <f t="shared" si="73"/>
        <v>0</v>
      </c>
      <c r="AG60" s="102">
        <f t="shared" si="73"/>
        <v>0</v>
      </c>
      <c r="AH60" s="102">
        <f t="shared" si="73"/>
        <v>0</v>
      </c>
      <c r="AI60" s="102">
        <f t="shared" si="73"/>
        <v>0</v>
      </c>
      <c r="AJ60" s="102">
        <f t="shared" si="73"/>
        <v>0</v>
      </c>
      <c r="AK60" s="102">
        <f t="shared" si="73"/>
        <v>0</v>
      </c>
      <c r="AL60" s="102">
        <f t="shared" si="73"/>
        <v>0</v>
      </c>
      <c r="AM60" s="102">
        <f t="shared" si="73"/>
        <v>0</v>
      </c>
      <c r="AN60" s="102">
        <f t="shared" si="73"/>
        <v>0</v>
      </c>
      <c r="AO60" s="102">
        <f t="shared" si="73"/>
        <v>0</v>
      </c>
      <c r="AP60" s="102">
        <f t="shared" si="73"/>
        <v>0</v>
      </c>
      <c r="AQ60" s="102">
        <f t="shared" si="73"/>
        <v>0</v>
      </c>
      <c r="AR60" s="102">
        <f t="shared" si="73"/>
        <v>0</v>
      </c>
      <c r="AS60" s="102"/>
      <c r="AT60" s="102"/>
      <c r="AU60" s="102"/>
      <c r="AV60" s="102"/>
      <c r="AW60" s="102"/>
      <c r="AX60" s="102"/>
      <c r="AY60" s="102"/>
      <c r="AZ60" s="102"/>
      <c r="BA60" s="102"/>
      <c r="BB60" s="102"/>
      <c r="BC60" s="102"/>
      <c r="BD60" s="102"/>
      <c r="BE60" s="102"/>
      <c r="BF60" s="102"/>
      <c r="BG60" s="102"/>
      <c r="BH60" s="102"/>
      <c r="BI60" s="102"/>
    </row>
    <row r="61" spans="1:61" s="17" customFormat="1" hidden="1" outlineLevel="1" x14ac:dyDescent="0.25">
      <c r="A61" s="16" t="str">
        <f t="shared" si="72"/>
        <v>Principal</v>
      </c>
      <c r="B61" s="101">
        <f t="shared" si="66"/>
        <v>0</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f>+AD65-AD63</f>
        <v>0</v>
      </c>
      <c r="AE61" s="102">
        <f t="shared" si="73"/>
        <v>0</v>
      </c>
      <c r="AF61" s="102">
        <f t="shared" si="73"/>
        <v>0</v>
      </c>
      <c r="AG61" s="102">
        <f t="shared" si="73"/>
        <v>0</v>
      </c>
      <c r="AH61" s="102">
        <f t="shared" si="73"/>
        <v>0</v>
      </c>
      <c r="AI61" s="102">
        <f t="shared" si="73"/>
        <v>0</v>
      </c>
      <c r="AJ61" s="102">
        <f t="shared" si="73"/>
        <v>0</v>
      </c>
      <c r="AK61" s="102">
        <f t="shared" si="73"/>
        <v>0</v>
      </c>
      <c r="AL61" s="102">
        <f t="shared" si="73"/>
        <v>0</v>
      </c>
      <c r="AM61" s="102">
        <f t="shared" si="73"/>
        <v>0</v>
      </c>
      <c r="AN61" s="102">
        <f t="shared" si="73"/>
        <v>0</v>
      </c>
      <c r="AO61" s="102">
        <f t="shared" si="73"/>
        <v>0</v>
      </c>
      <c r="AP61" s="102">
        <f t="shared" si="73"/>
        <v>0</v>
      </c>
      <c r="AQ61" s="102">
        <f t="shared" si="73"/>
        <v>0</v>
      </c>
      <c r="AR61" s="102">
        <f t="shared" si="73"/>
        <v>0</v>
      </c>
      <c r="AS61" s="102"/>
      <c r="AT61" s="102"/>
      <c r="AU61" s="102"/>
      <c r="AV61" s="102"/>
      <c r="AW61" s="102"/>
      <c r="AX61" s="102"/>
      <c r="AY61" s="102"/>
      <c r="AZ61" s="102"/>
      <c r="BA61" s="102"/>
      <c r="BB61" s="102"/>
      <c r="BC61" s="102"/>
      <c r="BD61" s="102"/>
      <c r="BE61" s="102"/>
      <c r="BF61" s="102"/>
      <c r="BG61" s="102"/>
      <c r="BH61" s="102"/>
      <c r="BI61" s="102"/>
    </row>
    <row r="62" spans="1:61" s="17" customFormat="1" hidden="1" outlineLevel="1" x14ac:dyDescent="0.25">
      <c r="A62" s="16" t="str">
        <f t="shared" si="72"/>
        <v>Interest</v>
      </c>
      <c r="B62" s="101">
        <f t="shared" si="66"/>
        <v>0</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f>+AC59*(AC$9/2)</f>
        <v>0</v>
      </c>
      <c r="AD62" s="102">
        <f>+AC67*AC$9/2</f>
        <v>0</v>
      </c>
      <c r="AE62" s="102">
        <f>+AD67*AC$9/2</f>
        <v>0</v>
      </c>
      <c r="AF62" s="102">
        <f>+AE67*AC$9/2</f>
        <v>0</v>
      </c>
      <c r="AG62" s="102">
        <f>+AF67*AC$9/2</f>
        <v>0</v>
      </c>
      <c r="AH62" s="102">
        <f>+AG67*AC$9/2</f>
        <v>0</v>
      </c>
      <c r="AI62" s="102">
        <f>+AH67*AC$9/2</f>
        <v>0</v>
      </c>
      <c r="AJ62" s="102">
        <f>+AI67*AC$9/2</f>
        <v>0</v>
      </c>
      <c r="AK62" s="102">
        <f>+AJ67*AC$9/2</f>
        <v>0</v>
      </c>
      <c r="AL62" s="102">
        <f>+AK67*AC$9/2</f>
        <v>0</v>
      </c>
      <c r="AM62" s="102">
        <f>+AL67*AC$9/2</f>
        <v>0</v>
      </c>
      <c r="AN62" s="102">
        <f>+AM67*AC$9/2</f>
        <v>0</v>
      </c>
      <c r="AO62" s="102">
        <f>+AN67*AC$9/2</f>
        <v>0</v>
      </c>
      <c r="AP62" s="102">
        <f>+AO67*AC$9/2</f>
        <v>0</v>
      </c>
      <c r="AQ62" s="102">
        <f>+AP67*AC$9/2</f>
        <v>0</v>
      </c>
      <c r="AR62" s="102">
        <f>+AQ67*AC$9/2</f>
        <v>0</v>
      </c>
      <c r="AS62" s="102"/>
      <c r="AT62" s="102"/>
      <c r="AU62" s="102"/>
      <c r="AV62" s="102"/>
      <c r="AW62" s="102"/>
      <c r="AX62" s="102"/>
      <c r="AY62" s="102"/>
      <c r="AZ62" s="102"/>
      <c r="BA62" s="102"/>
      <c r="BB62" s="102"/>
      <c r="BC62" s="102"/>
      <c r="BD62" s="102"/>
      <c r="BE62" s="102"/>
      <c r="BF62" s="102"/>
      <c r="BG62" s="102"/>
      <c r="BH62" s="102"/>
      <c r="BI62" s="102"/>
    </row>
    <row r="63" spans="1:61" s="17" customFormat="1" hidden="1" outlineLevel="1" x14ac:dyDescent="0.25">
      <c r="A63" s="16" t="str">
        <f t="shared" si="72"/>
        <v>Interest</v>
      </c>
      <c r="B63" s="101">
        <f t="shared" si="66"/>
        <v>0</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f>+AD66*AC$9/2</f>
        <v>0</v>
      </c>
      <c r="AE63" s="102">
        <f>+AE66*AC$9/2</f>
        <v>0</v>
      </c>
      <c r="AF63" s="102">
        <f>+AF66*AC$9/2</f>
        <v>0</v>
      </c>
      <c r="AG63" s="102">
        <f>+AG66*AC$9/2</f>
        <v>0</v>
      </c>
      <c r="AH63" s="102">
        <f>+AH66*AC$9/2</f>
        <v>0</v>
      </c>
      <c r="AI63" s="102">
        <f>+AI66*AC$9/2</f>
        <v>0</v>
      </c>
      <c r="AJ63" s="102">
        <f>+AJ66*AC$9/2</f>
        <v>0</v>
      </c>
      <c r="AK63" s="102">
        <f>+AK66*AC$9/2</f>
        <v>0</v>
      </c>
      <c r="AL63" s="102">
        <f>+AL66*AC$9/2</f>
        <v>0</v>
      </c>
      <c r="AM63" s="102">
        <f>+AM66*AC$9/2</f>
        <v>0</v>
      </c>
      <c r="AN63" s="102">
        <f>+AN66*AC$9/2</f>
        <v>0</v>
      </c>
      <c r="AO63" s="102">
        <f>+AO66*AC$9/2</f>
        <v>0</v>
      </c>
      <c r="AP63" s="102">
        <f>+AP66*AC$9/2</f>
        <v>0</v>
      </c>
      <c r="AQ63" s="102">
        <f>+AQ66*AC$9/2</f>
        <v>0</v>
      </c>
      <c r="AR63" s="102">
        <f>+AR66*AC$9/2</f>
        <v>0</v>
      </c>
      <c r="AS63" s="102"/>
      <c r="AT63" s="102"/>
      <c r="AU63" s="102"/>
      <c r="AV63" s="102"/>
      <c r="AW63" s="102"/>
      <c r="AX63" s="102"/>
      <c r="AY63" s="102"/>
      <c r="AZ63" s="102"/>
      <c r="BA63" s="102"/>
      <c r="BB63" s="102"/>
      <c r="BC63" s="102"/>
      <c r="BD63" s="102"/>
      <c r="BE63" s="102"/>
      <c r="BF63" s="102"/>
      <c r="BG63" s="102"/>
      <c r="BH63" s="102"/>
      <c r="BI63" s="102"/>
    </row>
    <row r="64" spans="1:61" s="17" customFormat="1" hidden="1" outlineLevel="1" x14ac:dyDescent="0.25">
      <c r="A64" s="16" t="str">
        <f t="shared" si="72"/>
        <v xml:space="preserve">Debt Servicing </v>
      </c>
      <c r="B64" s="101">
        <f t="shared" si="66"/>
        <v>0</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f>-PMT($AC$9/2,$AC$10*2,AC59)</f>
        <v>0</v>
      </c>
      <c r="AD64" s="102">
        <f t="shared" ref="AD64:AR64" si="74">+AC64</f>
        <v>0</v>
      </c>
      <c r="AE64" s="102">
        <f t="shared" si="74"/>
        <v>0</v>
      </c>
      <c r="AF64" s="102">
        <f t="shared" si="74"/>
        <v>0</v>
      </c>
      <c r="AG64" s="102">
        <f t="shared" si="74"/>
        <v>0</v>
      </c>
      <c r="AH64" s="102">
        <f t="shared" si="74"/>
        <v>0</v>
      </c>
      <c r="AI64" s="102">
        <f t="shared" si="74"/>
        <v>0</v>
      </c>
      <c r="AJ64" s="102">
        <f t="shared" si="74"/>
        <v>0</v>
      </c>
      <c r="AK64" s="102">
        <f t="shared" si="74"/>
        <v>0</v>
      </c>
      <c r="AL64" s="102">
        <f t="shared" si="74"/>
        <v>0</v>
      </c>
      <c r="AM64" s="102">
        <f t="shared" si="74"/>
        <v>0</v>
      </c>
      <c r="AN64" s="102">
        <f t="shared" si="74"/>
        <v>0</v>
      </c>
      <c r="AO64" s="102">
        <f t="shared" si="74"/>
        <v>0</v>
      </c>
      <c r="AP64" s="102">
        <f t="shared" si="74"/>
        <v>0</v>
      </c>
      <c r="AQ64" s="102">
        <f t="shared" si="74"/>
        <v>0</v>
      </c>
      <c r="AR64" s="102">
        <f t="shared" si="74"/>
        <v>0</v>
      </c>
      <c r="AS64" s="102"/>
      <c r="AT64" s="102"/>
      <c r="AU64" s="102"/>
      <c r="AV64" s="102"/>
      <c r="AW64" s="102"/>
      <c r="AX64" s="102"/>
      <c r="AY64" s="102"/>
      <c r="AZ64" s="102"/>
      <c r="BA64" s="102"/>
      <c r="BB64" s="102"/>
      <c r="BC64" s="102"/>
      <c r="BD64" s="102"/>
      <c r="BE64" s="102"/>
      <c r="BF64" s="102"/>
      <c r="BG64" s="102"/>
      <c r="BH64" s="102"/>
      <c r="BI64" s="102"/>
    </row>
    <row r="65" spans="1:61" s="17" customFormat="1" hidden="1" outlineLevel="1" x14ac:dyDescent="0.25">
      <c r="A65" s="16" t="str">
        <f t="shared" si="72"/>
        <v xml:space="preserve">Debt Servicing </v>
      </c>
      <c r="B65" s="101">
        <f t="shared" si="66"/>
        <v>0</v>
      </c>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f t="shared" ref="AD65:AQ65" si="75">+AD64</f>
        <v>0</v>
      </c>
      <c r="AE65" s="102">
        <f t="shared" si="75"/>
        <v>0</v>
      </c>
      <c r="AF65" s="102">
        <f t="shared" si="75"/>
        <v>0</v>
      </c>
      <c r="AG65" s="102">
        <f t="shared" si="75"/>
        <v>0</v>
      </c>
      <c r="AH65" s="102">
        <f t="shared" si="75"/>
        <v>0</v>
      </c>
      <c r="AI65" s="102">
        <f t="shared" si="75"/>
        <v>0</v>
      </c>
      <c r="AJ65" s="102">
        <f t="shared" si="75"/>
        <v>0</v>
      </c>
      <c r="AK65" s="102">
        <f t="shared" si="75"/>
        <v>0</v>
      </c>
      <c r="AL65" s="102">
        <f t="shared" si="75"/>
        <v>0</v>
      </c>
      <c r="AM65" s="102">
        <f t="shared" si="75"/>
        <v>0</v>
      </c>
      <c r="AN65" s="102">
        <f t="shared" si="75"/>
        <v>0</v>
      </c>
      <c r="AO65" s="102">
        <f t="shared" si="75"/>
        <v>0</v>
      </c>
      <c r="AP65" s="102">
        <f t="shared" si="75"/>
        <v>0</v>
      </c>
      <c r="AQ65" s="102">
        <f t="shared" si="75"/>
        <v>0</v>
      </c>
      <c r="AR65" s="102"/>
      <c r="AS65" s="102"/>
      <c r="AT65" s="102"/>
      <c r="AU65" s="102"/>
      <c r="AV65" s="102"/>
      <c r="AW65" s="102"/>
      <c r="AX65" s="102"/>
      <c r="AY65" s="102"/>
      <c r="AZ65" s="102"/>
      <c r="BA65" s="102"/>
      <c r="BB65" s="102"/>
      <c r="BC65" s="102"/>
      <c r="BD65" s="102"/>
      <c r="BE65" s="102"/>
      <c r="BF65" s="102"/>
      <c r="BG65" s="102"/>
      <c r="BH65" s="102"/>
      <c r="BI65" s="102"/>
    </row>
    <row r="66" spans="1:61" s="17" customFormat="1" hidden="1" outlineLevel="1" x14ac:dyDescent="0.25">
      <c r="A66" s="16" t="str">
        <f t="shared" si="72"/>
        <v>Balance mid year</v>
      </c>
      <c r="B66" s="101">
        <f t="shared" si="66"/>
        <v>0</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v>0</v>
      </c>
      <c r="AD66" s="102">
        <f t="shared" ref="AD66:AR66" si="76">+AC67-AD60</f>
        <v>0</v>
      </c>
      <c r="AE66" s="102">
        <f t="shared" si="76"/>
        <v>0</v>
      </c>
      <c r="AF66" s="102">
        <f t="shared" si="76"/>
        <v>0</v>
      </c>
      <c r="AG66" s="102">
        <f t="shared" si="76"/>
        <v>0</v>
      </c>
      <c r="AH66" s="102">
        <f t="shared" si="76"/>
        <v>0</v>
      </c>
      <c r="AI66" s="102">
        <f t="shared" si="76"/>
        <v>0</v>
      </c>
      <c r="AJ66" s="102">
        <f t="shared" si="76"/>
        <v>0</v>
      </c>
      <c r="AK66" s="102">
        <f t="shared" si="76"/>
        <v>0</v>
      </c>
      <c r="AL66" s="102">
        <f t="shared" si="76"/>
        <v>0</v>
      </c>
      <c r="AM66" s="102">
        <f t="shared" si="76"/>
        <v>0</v>
      </c>
      <c r="AN66" s="102">
        <f t="shared" si="76"/>
        <v>0</v>
      </c>
      <c r="AO66" s="102">
        <f t="shared" si="76"/>
        <v>0</v>
      </c>
      <c r="AP66" s="102">
        <f t="shared" si="76"/>
        <v>0</v>
      </c>
      <c r="AQ66" s="102">
        <f t="shared" si="76"/>
        <v>0</v>
      </c>
      <c r="AR66" s="102">
        <f t="shared" si="76"/>
        <v>0</v>
      </c>
      <c r="AS66" s="102"/>
      <c r="AT66" s="102"/>
      <c r="AU66" s="102"/>
      <c r="AV66" s="102"/>
      <c r="AW66" s="102"/>
      <c r="AX66" s="102"/>
      <c r="AY66" s="102"/>
      <c r="AZ66" s="102"/>
      <c r="BA66" s="102"/>
      <c r="BB66" s="102"/>
      <c r="BC66" s="102"/>
      <c r="BD66" s="102"/>
      <c r="BE66" s="102"/>
      <c r="BF66" s="102"/>
      <c r="BG66" s="102"/>
      <c r="BH66" s="102"/>
      <c r="BI66" s="102"/>
    </row>
    <row r="67" spans="1:61" s="17" customFormat="1" hidden="1" outlineLevel="1" x14ac:dyDescent="0.25">
      <c r="A67" s="16" t="str">
        <f t="shared" si="72"/>
        <v>Balance</v>
      </c>
      <c r="B67" s="101">
        <f t="shared" si="66"/>
        <v>0</v>
      </c>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f>+AC59-AC60</f>
        <v>0</v>
      </c>
      <c r="AD67" s="102">
        <f t="shared" ref="AD67:AR67" si="77">+AD66-AD61</f>
        <v>0</v>
      </c>
      <c r="AE67" s="102">
        <f t="shared" si="77"/>
        <v>0</v>
      </c>
      <c r="AF67" s="102">
        <f t="shared" si="77"/>
        <v>0</v>
      </c>
      <c r="AG67" s="102">
        <f t="shared" si="77"/>
        <v>0</v>
      </c>
      <c r="AH67" s="102">
        <f t="shared" si="77"/>
        <v>0</v>
      </c>
      <c r="AI67" s="102">
        <f t="shared" si="77"/>
        <v>0</v>
      </c>
      <c r="AJ67" s="102">
        <f t="shared" si="77"/>
        <v>0</v>
      </c>
      <c r="AK67" s="102">
        <f t="shared" si="77"/>
        <v>0</v>
      </c>
      <c r="AL67" s="102">
        <f t="shared" si="77"/>
        <v>0</v>
      </c>
      <c r="AM67" s="102">
        <f t="shared" si="77"/>
        <v>0</v>
      </c>
      <c r="AN67" s="102">
        <f t="shared" si="77"/>
        <v>0</v>
      </c>
      <c r="AO67" s="102">
        <f t="shared" si="77"/>
        <v>0</v>
      </c>
      <c r="AP67" s="102">
        <f t="shared" si="77"/>
        <v>0</v>
      </c>
      <c r="AQ67" s="102">
        <f t="shared" si="77"/>
        <v>0</v>
      </c>
      <c r="AR67" s="102">
        <f t="shared" si="77"/>
        <v>0</v>
      </c>
      <c r="AS67" s="102"/>
      <c r="AT67" s="102"/>
      <c r="AU67" s="102"/>
      <c r="AV67" s="102"/>
      <c r="AW67" s="102"/>
      <c r="AX67" s="102"/>
      <c r="AY67" s="102"/>
      <c r="AZ67" s="102"/>
      <c r="BA67" s="102"/>
      <c r="BB67" s="102"/>
      <c r="BC67" s="102"/>
      <c r="BD67" s="102"/>
      <c r="BE67" s="102"/>
      <c r="BF67" s="102"/>
      <c r="BG67" s="102"/>
      <c r="BH67" s="102"/>
      <c r="BI67" s="102"/>
    </row>
    <row r="68" spans="1:61" s="17" customFormat="1" hidden="1" outlineLevel="1" x14ac:dyDescent="0.25">
      <c r="A68" s="16"/>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row>
    <row r="69" spans="1:61" hidden="1" outlineLevel="1" x14ac:dyDescent="0.25">
      <c r="A69" s="20" t="s">
        <v>226</v>
      </c>
      <c r="B69" s="101">
        <f t="shared" ref="B69:B97" si="78">SUM(C69:BB69)</f>
        <v>0</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f>AD8</f>
        <v>0</v>
      </c>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row>
    <row r="70" spans="1:61" s="17" customFormat="1" hidden="1" outlineLevel="1" x14ac:dyDescent="0.25">
      <c r="A70" s="16" t="s">
        <v>163</v>
      </c>
      <c r="B70" s="101">
        <f t="shared" si="78"/>
        <v>0</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f>+AD74-AD72</f>
        <v>0</v>
      </c>
      <c r="AE70" s="102">
        <f>+AE74-AE72</f>
        <v>0</v>
      </c>
      <c r="AF70" s="102">
        <f t="shared" ref="AF70:AS71" si="79">+AF74-AF72</f>
        <v>0</v>
      </c>
      <c r="AG70" s="102">
        <f t="shared" si="79"/>
        <v>0</v>
      </c>
      <c r="AH70" s="102">
        <f t="shared" si="79"/>
        <v>0</v>
      </c>
      <c r="AI70" s="102">
        <f t="shared" si="79"/>
        <v>0</v>
      </c>
      <c r="AJ70" s="102">
        <f t="shared" si="79"/>
        <v>0</v>
      </c>
      <c r="AK70" s="102">
        <f t="shared" si="79"/>
        <v>0</v>
      </c>
      <c r="AL70" s="102">
        <f t="shared" si="79"/>
        <v>0</v>
      </c>
      <c r="AM70" s="102">
        <f t="shared" si="79"/>
        <v>0</v>
      </c>
      <c r="AN70" s="102">
        <f t="shared" si="79"/>
        <v>0</v>
      </c>
      <c r="AO70" s="102">
        <f t="shared" si="79"/>
        <v>0</v>
      </c>
      <c r="AP70" s="102">
        <f t="shared" si="79"/>
        <v>0</v>
      </c>
      <c r="AQ70" s="102">
        <f t="shared" si="79"/>
        <v>0</v>
      </c>
      <c r="AR70" s="102">
        <f t="shared" si="79"/>
        <v>0</v>
      </c>
      <c r="AS70" s="102">
        <f t="shared" si="79"/>
        <v>0</v>
      </c>
      <c r="AT70" s="102"/>
      <c r="AU70" s="102"/>
      <c r="AV70" s="102"/>
      <c r="AW70" s="102"/>
      <c r="AX70" s="102"/>
      <c r="AY70" s="102"/>
      <c r="AZ70" s="102"/>
      <c r="BA70" s="102"/>
      <c r="BB70" s="102"/>
      <c r="BC70" s="102"/>
      <c r="BD70" s="102"/>
      <c r="BE70" s="102"/>
      <c r="BF70" s="102"/>
      <c r="BG70" s="102"/>
      <c r="BH70" s="102"/>
      <c r="BI70" s="102"/>
    </row>
    <row r="71" spans="1:61" s="17" customFormat="1" hidden="1" outlineLevel="1" x14ac:dyDescent="0.25">
      <c r="A71" s="16" t="s">
        <v>163</v>
      </c>
      <c r="B71" s="101">
        <f t="shared" si="78"/>
        <v>0</v>
      </c>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f>+AE75-AE73</f>
        <v>0</v>
      </c>
      <c r="AF71" s="102">
        <f t="shared" si="79"/>
        <v>0</v>
      </c>
      <c r="AG71" s="102">
        <f t="shared" si="79"/>
        <v>0</v>
      </c>
      <c r="AH71" s="102">
        <f t="shared" si="79"/>
        <v>0</v>
      </c>
      <c r="AI71" s="102">
        <f t="shared" si="79"/>
        <v>0</v>
      </c>
      <c r="AJ71" s="102">
        <f t="shared" si="79"/>
        <v>0</v>
      </c>
      <c r="AK71" s="102">
        <f t="shared" si="79"/>
        <v>0</v>
      </c>
      <c r="AL71" s="102">
        <f t="shared" si="79"/>
        <v>0</v>
      </c>
      <c r="AM71" s="102">
        <f t="shared" si="79"/>
        <v>0</v>
      </c>
      <c r="AN71" s="102">
        <f t="shared" si="79"/>
        <v>0</v>
      </c>
      <c r="AO71" s="102">
        <f t="shared" si="79"/>
        <v>0</v>
      </c>
      <c r="AP71" s="102">
        <f t="shared" si="79"/>
        <v>0</v>
      </c>
      <c r="AQ71" s="102">
        <f t="shared" si="79"/>
        <v>0</v>
      </c>
      <c r="AR71" s="102">
        <f t="shared" si="79"/>
        <v>0</v>
      </c>
      <c r="AS71" s="102">
        <f t="shared" si="79"/>
        <v>0</v>
      </c>
      <c r="AT71" s="102"/>
      <c r="AU71" s="102"/>
      <c r="AV71" s="102"/>
      <c r="AW71" s="102"/>
      <c r="AX71" s="102"/>
      <c r="AY71" s="102"/>
      <c r="AZ71" s="102"/>
      <c r="BA71" s="102"/>
      <c r="BB71" s="102"/>
      <c r="BC71" s="102"/>
      <c r="BD71" s="102"/>
      <c r="BE71" s="102"/>
      <c r="BF71" s="102"/>
      <c r="BG71" s="102"/>
      <c r="BH71" s="102"/>
      <c r="BI71" s="102"/>
    </row>
    <row r="72" spans="1:61" s="17" customFormat="1" hidden="1" outlineLevel="1" x14ac:dyDescent="0.25">
      <c r="A72" s="16" t="s">
        <v>164</v>
      </c>
      <c r="B72" s="101">
        <f t="shared" si="78"/>
        <v>0</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f>AD69*AD9/2</f>
        <v>0</v>
      </c>
      <c r="AE72" s="102">
        <f>+AD77*$AD$9/2</f>
        <v>0</v>
      </c>
      <c r="AF72" s="102">
        <f t="shared" ref="AF72:AS72" si="80">+AE77*$AD$9/2</f>
        <v>0</v>
      </c>
      <c r="AG72" s="102">
        <f t="shared" si="80"/>
        <v>0</v>
      </c>
      <c r="AH72" s="102">
        <f t="shared" si="80"/>
        <v>0</v>
      </c>
      <c r="AI72" s="102">
        <f t="shared" si="80"/>
        <v>0</v>
      </c>
      <c r="AJ72" s="102">
        <f t="shared" si="80"/>
        <v>0</v>
      </c>
      <c r="AK72" s="102">
        <f t="shared" si="80"/>
        <v>0</v>
      </c>
      <c r="AL72" s="102">
        <f t="shared" si="80"/>
        <v>0</v>
      </c>
      <c r="AM72" s="102">
        <f t="shared" si="80"/>
        <v>0</v>
      </c>
      <c r="AN72" s="102">
        <f t="shared" si="80"/>
        <v>0</v>
      </c>
      <c r="AO72" s="102">
        <f t="shared" si="80"/>
        <v>0</v>
      </c>
      <c r="AP72" s="102">
        <f t="shared" si="80"/>
        <v>0</v>
      </c>
      <c r="AQ72" s="102">
        <f t="shared" si="80"/>
        <v>0</v>
      </c>
      <c r="AR72" s="102">
        <f t="shared" si="80"/>
        <v>0</v>
      </c>
      <c r="AS72" s="102">
        <f t="shared" si="80"/>
        <v>0</v>
      </c>
      <c r="AT72" s="102"/>
      <c r="AU72" s="102"/>
      <c r="AV72" s="102"/>
      <c r="AW72" s="102"/>
      <c r="AX72" s="102"/>
      <c r="AY72" s="102"/>
      <c r="AZ72" s="102"/>
      <c r="BA72" s="102"/>
      <c r="BB72" s="102"/>
      <c r="BC72" s="102"/>
      <c r="BD72" s="102"/>
      <c r="BE72" s="102"/>
      <c r="BF72" s="102"/>
      <c r="BG72" s="102"/>
      <c r="BH72" s="102"/>
      <c r="BI72" s="102"/>
    </row>
    <row r="73" spans="1:61" s="17" customFormat="1" hidden="1" outlineLevel="1" x14ac:dyDescent="0.25">
      <c r="A73" s="16" t="s">
        <v>164</v>
      </c>
      <c r="B73" s="101">
        <f t="shared" si="78"/>
        <v>0</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f>+AE76*$AD$9/2</f>
        <v>0</v>
      </c>
      <c r="AF73" s="102">
        <f t="shared" ref="AF73:AS73" si="81">+AF76*$AD$9/2</f>
        <v>0</v>
      </c>
      <c r="AG73" s="102">
        <f t="shared" si="81"/>
        <v>0</v>
      </c>
      <c r="AH73" s="102">
        <f t="shared" si="81"/>
        <v>0</v>
      </c>
      <c r="AI73" s="102">
        <f t="shared" si="81"/>
        <v>0</v>
      </c>
      <c r="AJ73" s="102">
        <f t="shared" si="81"/>
        <v>0</v>
      </c>
      <c r="AK73" s="102">
        <f t="shared" si="81"/>
        <v>0</v>
      </c>
      <c r="AL73" s="102">
        <f t="shared" si="81"/>
        <v>0</v>
      </c>
      <c r="AM73" s="102">
        <f t="shared" si="81"/>
        <v>0</v>
      </c>
      <c r="AN73" s="102">
        <f t="shared" si="81"/>
        <v>0</v>
      </c>
      <c r="AO73" s="102">
        <f t="shared" si="81"/>
        <v>0</v>
      </c>
      <c r="AP73" s="102">
        <f t="shared" si="81"/>
        <v>0</v>
      </c>
      <c r="AQ73" s="102">
        <f t="shared" si="81"/>
        <v>0</v>
      </c>
      <c r="AR73" s="102">
        <f t="shared" si="81"/>
        <v>0</v>
      </c>
      <c r="AS73" s="102">
        <f t="shared" si="81"/>
        <v>0</v>
      </c>
      <c r="AT73" s="102"/>
      <c r="AU73" s="102"/>
      <c r="AV73" s="102"/>
      <c r="AW73" s="102"/>
      <c r="AX73" s="102"/>
      <c r="AY73" s="102"/>
      <c r="AZ73" s="102"/>
      <c r="BA73" s="102"/>
      <c r="BB73" s="102"/>
      <c r="BC73" s="102"/>
      <c r="BD73" s="102"/>
      <c r="BE73" s="102"/>
      <c r="BF73" s="102"/>
      <c r="BG73" s="102"/>
      <c r="BH73" s="102"/>
      <c r="BI73" s="102"/>
    </row>
    <row r="74" spans="1:61" s="17" customFormat="1" hidden="1" outlineLevel="1" x14ac:dyDescent="0.25">
      <c r="A74" s="16" t="s">
        <v>220</v>
      </c>
      <c r="B74" s="101">
        <f t="shared" si="78"/>
        <v>0</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f>-PMT(AD9/2,AD10*2,AD8)</f>
        <v>0</v>
      </c>
      <c r="AE74" s="102">
        <f>+AD74</f>
        <v>0</v>
      </c>
      <c r="AF74" s="102">
        <f t="shared" ref="AF74:AS74" si="82">+AE74</f>
        <v>0</v>
      </c>
      <c r="AG74" s="102">
        <f t="shared" si="82"/>
        <v>0</v>
      </c>
      <c r="AH74" s="102">
        <f t="shared" si="82"/>
        <v>0</v>
      </c>
      <c r="AI74" s="102">
        <f t="shared" si="82"/>
        <v>0</v>
      </c>
      <c r="AJ74" s="102">
        <f t="shared" si="82"/>
        <v>0</v>
      </c>
      <c r="AK74" s="102">
        <f t="shared" si="82"/>
        <v>0</v>
      </c>
      <c r="AL74" s="102">
        <f t="shared" si="82"/>
        <v>0</v>
      </c>
      <c r="AM74" s="102">
        <f t="shared" si="82"/>
        <v>0</v>
      </c>
      <c r="AN74" s="102">
        <f t="shared" si="82"/>
        <v>0</v>
      </c>
      <c r="AO74" s="102">
        <f t="shared" si="82"/>
        <v>0</v>
      </c>
      <c r="AP74" s="102">
        <f t="shared" si="82"/>
        <v>0</v>
      </c>
      <c r="AQ74" s="102">
        <f t="shared" si="82"/>
        <v>0</v>
      </c>
      <c r="AR74" s="102">
        <f t="shared" si="82"/>
        <v>0</v>
      </c>
      <c r="AS74" s="102">
        <f t="shared" si="82"/>
        <v>0</v>
      </c>
      <c r="AT74" s="102"/>
      <c r="AU74" s="102"/>
      <c r="AV74" s="102"/>
      <c r="AW74" s="102"/>
      <c r="AX74" s="102"/>
      <c r="AY74" s="102"/>
      <c r="AZ74" s="102"/>
      <c r="BA74" s="102"/>
      <c r="BB74" s="102"/>
      <c r="BC74" s="102"/>
      <c r="BD74" s="102"/>
      <c r="BE74" s="102"/>
      <c r="BF74" s="102"/>
      <c r="BG74" s="102"/>
      <c r="BH74" s="102"/>
      <c r="BI74" s="102"/>
    </row>
    <row r="75" spans="1:61" s="17" customFormat="1" hidden="1" outlineLevel="1" x14ac:dyDescent="0.25">
      <c r="A75" s="16" t="s">
        <v>220</v>
      </c>
      <c r="B75" s="101">
        <f t="shared" si="78"/>
        <v>0</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f>+AE74</f>
        <v>0</v>
      </c>
      <c r="AF75" s="102">
        <f t="shared" ref="AF75:AR75" si="83">+AF74</f>
        <v>0</v>
      </c>
      <c r="AG75" s="102">
        <f t="shared" si="83"/>
        <v>0</v>
      </c>
      <c r="AH75" s="102">
        <f t="shared" si="83"/>
        <v>0</v>
      </c>
      <c r="AI75" s="102">
        <f t="shared" si="83"/>
        <v>0</v>
      </c>
      <c r="AJ75" s="102">
        <f t="shared" si="83"/>
        <v>0</v>
      </c>
      <c r="AK75" s="102">
        <f t="shared" si="83"/>
        <v>0</v>
      </c>
      <c r="AL75" s="102">
        <f t="shared" si="83"/>
        <v>0</v>
      </c>
      <c r="AM75" s="102">
        <f t="shared" si="83"/>
        <v>0</v>
      </c>
      <c r="AN75" s="102">
        <f t="shared" si="83"/>
        <v>0</v>
      </c>
      <c r="AO75" s="102">
        <f t="shared" si="83"/>
        <v>0</v>
      </c>
      <c r="AP75" s="102">
        <f t="shared" si="83"/>
        <v>0</v>
      </c>
      <c r="AQ75" s="102">
        <f t="shared" si="83"/>
        <v>0</v>
      </c>
      <c r="AR75" s="102">
        <f t="shared" si="83"/>
        <v>0</v>
      </c>
      <c r="AS75" s="102"/>
      <c r="AT75" s="102"/>
      <c r="AU75" s="102"/>
      <c r="AV75" s="102"/>
      <c r="AW75" s="102"/>
      <c r="AX75" s="102"/>
      <c r="AY75" s="102"/>
      <c r="AZ75" s="102"/>
      <c r="BA75" s="102"/>
      <c r="BB75" s="102"/>
      <c r="BC75" s="102"/>
      <c r="BD75" s="102"/>
      <c r="BE75" s="102"/>
      <c r="BF75" s="102"/>
      <c r="BG75" s="102"/>
      <c r="BH75" s="102"/>
      <c r="BI75" s="102"/>
    </row>
    <row r="76" spans="1:61" s="17" customFormat="1" hidden="1" outlineLevel="1" x14ac:dyDescent="0.25">
      <c r="A76" s="16" t="s">
        <v>227</v>
      </c>
      <c r="B76" s="101">
        <f t="shared" si="78"/>
        <v>0</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f>+AD77-AE70</f>
        <v>0</v>
      </c>
      <c r="AF76" s="102">
        <f t="shared" ref="AF76:AS76" si="84">+AE77-AF70</f>
        <v>0</v>
      </c>
      <c r="AG76" s="102">
        <f t="shared" si="84"/>
        <v>0</v>
      </c>
      <c r="AH76" s="102">
        <f t="shared" si="84"/>
        <v>0</v>
      </c>
      <c r="AI76" s="102">
        <f t="shared" si="84"/>
        <v>0</v>
      </c>
      <c r="AJ76" s="102">
        <f t="shared" si="84"/>
        <v>0</v>
      </c>
      <c r="AK76" s="102">
        <f t="shared" si="84"/>
        <v>0</v>
      </c>
      <c r="AL76" s="102">
        <f t="shared" si="84"/>
        <v>0</v>
      </c>
      <c r="AM76" s="102">
        <f t="shared" si="84"/>
        <v>0</v>
      </c>
      <c r="AN76" s="102">
        <f t="shared" si="84"/>
        <v>0</v>
      </c>
      <c r="AO76" s="102">
        <f t="shared" si="84"/>
        <v>0</v>
      </c>
      <c r="AP76" s="102">
        <f t="shared" si="84"/>
        <v>0</v>
      </c>
      <c r="AQ76" s="102">
        <f t="shared" si="84"/>
        <v>0</v>
      </c>
      <c r="AR76" s="102">
        <f t="shared" si="84"/>
        <v>0</v>
      </c>
      <c r="AS76" s="102">
        <f t="shared" si="84"/>
        <v>0</v>
      </c>
      <c r="AT76" s="102"/>
      <c r="AU76" s="102"/>
      <c r="AV76" s="102"/>
      <c r="AW76" s="102"/>
      <c r="AX76" s="102"/>
      <c r="AY76" s="102"/>
      <c r="AZ76" s="102"/>
      <c r="BA76" s="102"/>
      <c r="BB76" s="102"/>
      <c r="BC76" s="102"/>
      <c r="BD76" s="102"/>
      <c r="BE76" s="102"/>
      <c r="BF76" s="102"/>
      <c r="BG76" s="102"/>
      <c r="BH76" s="102"/>
      <c r="BI76" s="102"/>
    </row>
    <row r="77" spans="1:61" s="17" customFormat="1" hidden="1" outlineLevel="1" x14ac:dyDescent="0.25">
      <c r="A77" s="16" t="s">
        <v>16</v>
      </c>
      <c r="B77" s="101">
        <f t="shared" si="78"/>
        <v>0</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f>AD69-AD70</f>
        <v>0</v>
      </c>
      <c r="AE77" s="102">
        <f>+AE76-AE71</f>
        <v>0</v>
      </c>
      <c r="AF77" s="102">
        <f t="shared" ref="AF77:AS77" si="85">+AF76-AF71</f>
        <v>0</v>
      </c>
      <c r="AG77" s="102">
        <f t="shared" si="85"/>
        <v>0</v>
      </c>
      <c r="AH77" s="102">
        <f t="shared" si="85"/>
        <v>0</v>
      </c>
      <c r="AI77" s="102">
        <f t="shared" si="85"/>
        <v>0</v>
      </c>
      <c r="AJ77" s="102">
        <f t="shared" si="85"/>
        <v>0</v>
      </c>
      <c r="AK77" s="102">
        <f t="shared" si="85"/>
        <v>0</v>
      </c>
      <c r="AL77" s="102">
        <f t="shared" si="85"/>
        <v>0</v>
      </c>
      <c r="AM77" s="102">
        <f t="shared" si="85"/>
        <v>0</v>
      </c>
      <c r="AN77" s="102">
        <f t="shared" si="85"/>
        <v>0</v>
      </c>
      <c r="AO77" s="102">
        <f t="shared" si="85"/>
        <v>0</v>
      </c>
      <c r="AP77" s="102">
        <f t="shared" si="85"/>
        <v>0</v>
      </c>
      <c r="AQ77" s="102">
        <f t="shared" si="85"/>
        <v>0</v>
      </c>
      <c r="AR77" s="102">
        <f t="shared" si="85"/>
        <v>0</v>
      </c>
      <c r="AS77" s="102">
        <f t="shared" si="85"/>
        <v>0</v>
      </c>
      <c r="AT77" s="102"/>
      <c r="AU77" s="102"/>
      <c r="AV77" s="102"/>
      <c r="AW77" s="102"/>
      <c r="AX77" s="102"/>
      <c r="AY77" s="102"/>
      <c r="AZ77" s="102"/>
      <c r="BA77" s="102"/>
      <c r="BB77" s="102"/>
      <c r="BC77" s="102"/>
      <c r="BD77" s="102"/>
      <c r="BE77" s="102"/>
      <c r="BF77" s="102"/>
      <c r="BG77" s="102"/>
      <c r="BH77" s="102"/>
      <c r="BI77" s="102"/>
    </row>
    <row r="78" spans="1:61" hidden="1" outlineLevel="1" x14ac:dyDescent="0.25">
      <c r="A78" s="21"/>
      <c r="B78" s="101">
        <f t="shared" si="78"/>
        <v>0</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row>
    <row r="79" spans="1:61" hidden="1" outlineLevel="1" x14ac:dyDescent="0.25">
      <c r="A79" s="20" t="str">
        <f t="shared" ref="A79:A87" si="86">A69</f>
        <v>Debt Forecasted</v>
      </c>
      <c r="B79" s="101">
        <f t="shared" si="78"/>
        <v>0</v>
      </c>
      <c r="C79" s="102">
        <v>0</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f>AE8</f>
        <v>0</v>
      </c>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row>
    <row r="80" spans="1:61" s="17" customFormat="1" hidden="1" outlineLevel="1" x14ac:dyDescent="0.25">
      <c r="A80" s="16" t="str">
        <f t="shared" si="86"/>
        <v>Principal</v>
      </c>
      <c r="B80" s="101">
        <f t="shared" si="78"/>
        <v>0</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f t="shared" ref="AE80:AT81" si="87">+AE84-AE82</f>
        <v>0</v>
      </c>
      <c r="AF80" s="102">
        <f t="shared" si="87"/>
        <v>0</v>
      </c>
      <c r="AG80" s="102">
        <f t="shared" si="87"/>
        <v>0</v>
      </c>
      <c r="AH80" s="102">
        <f t="shared" si="87"/>
        <v>0</v>
      </c>
      <c r="AI80" s="102">
        <f t="shared" si="87"/>
        <v>0</v>
      </c>
      <c r="AJ80" s="102">
        <f t="shared" si="87"/>
        <v>0</v>
      </c>
      <c r="AK80" s="102">
        <f t="shared" si="87"/>
        <v>0</v>
      </c>
      <c r="AL80" s="102">
        <f t="shared" si="87"/>
        <v>0</v>
      </c>
      <c r="AM80" s="102">
        <f t="shared" si="87"/>
        <v>0</v>
      </c>
      <c r="AN80" s="102">
        <f t="shared" si="87"/>
        <v>0</v>
      </c>
      <c r="AO80" s="102">
        <f t="shared" si="87"/>
        <v>0</v>
      </c>
      <c r="AP80" s="102">
        <f t="shared" si="87"/>
        <v>0</v>
      </c>
      <c r="AQ80" s="102">
        <f t="shared" si="87"/>
        <v>0</v>
      </c>
      <c r="AR80" s="102">
        <f t="shared" si="87"/>
        <v>0</v>
      </c>
      <c r="AS80" s="102">
        <f t="shared" si="87"/>
        <v>0</v>
      </c>
      <c r="AT80" s="102">
        <f t="shared" si="87"/>
        <v>0</v>
      </c>
      <c r="AU80" s="102"/>
      <c r="AV80" s="102"/>
      <c r="AW80" s="102"/>
      <c r="AX80" s="102"/>
      <c r="AY80" s="102"/>
      <c r="AZ80" s="102"/>
      <c r="BA80" s="102"/>
      <c r="BB80" s="102"/>
      <c r="BC80" s="102"/>
      <c r="BD80" s="102"/>
      <c r="BE80" s="102"/>
      <c r="BF80" s="102"/>
      <c r="BG80" s="102"/>
      <c r="BH80" s="102"/>
      <c r="BI80" s="102"/>
    </row>
    <row r="81" spans="1:61" s="17" customFormat="1" hidden="1" outlineLevel="1" x14ac:dyDescent="0.25">
      <c r="A81" s="16" t="str">
        <f t="shared" si="86"/>
        <v>Principal</v>
      </c>
      <c r="B81" s="101">
        <f t="shared" si="78"/>
        <v>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f t="shared" si="87"/>
        <v>0</v>
      </c>
      <c r="AG81" s="102">
        <f t="shared" si="87"/>
        <v>0</v>
      </c>
      <c r="AH81" s="102">
        <f t="shared" si="87"/>
        <v>0</v>
      </c>
      <c r="AI81" s="102">
        <f t="shared" si="87"/>
        <v>0</v>
      </c>
      <c r="AJ81" s="102">
        <f t="shared" si="87"/>
        <v>0</v>
      </c>
      <c r="AK81" s="102">
        <f t="shared" si="87"/>
        <v>0</v>
      </c>
      <c r="AL81" s="102">
        <f t="shared" si="87"/>
        <v>0</v>
      </c>
      <c r="AM81" s="102">
        <f t="shared" si="87"/>
        <v>0</v>
      </c>
      <c r="AN81" s="102">
        <f t="shared" si="87"/>
        <v>0</v>
      </c>
      <c r="AO81" s="102">
        <f t="shared" si="87"/>
        <v>0</v>
      </c>
      <c r="AP81" s="102">
        <f t="shared" si="87"/>
        <v>0</v>
      </c>
      <c r="AQ81" s="102">
        <f t="shared" si="87"/>
        <v>0</v>
      </c>
      <c r="AR81" s="102">
        <f t="shared" si="87"/>
        <v>0</v>
      </c>
      <c r="AS81" s="102">
        <f t="shared" si="87"/>
        <v>0</v>
      </c>
      <c r="AT81" s="102">
        <f t="shared" si="87"/>
        <v>0</v>
      </c>
      <c r="AU81" s="102"/>
      <c r="AV81" s="102"/>
      <c r="AW81" s="102"/>
      <c r="AX81" s="102"/>
      <c r="AY81" s="102"/>
      <c r="AZ81" s="102"/>
      <c r="BA81" s="102"/>
      <c r="BB81" s="102"/>
      <c r="BC81" s="102"/>
      <c r="BD81" s="102"/>
      <c r="BE81" s="102"/>
      <c r="BF81" s="102"/>
      <c r="BG81" s="102"/>
      <c r="BH81" s="102"/>
      <c r="BI81" s="102"/>
    </row>
    <row r="82" spans="1:61" s="17" customFormat="1" hidden="1" outlineLevel="1" x14ac:dyDescent="0.25">
      <c r="A82" s="16" t="str">
        <f t="shared" si="86"/>
        <v>Interest</v>
      </c>
      <c r="B82" s="101">
        <f t="shared" si="78"/>
        <v>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f>+AE79*AE9/2</f>
        <v>0</v>
      </c>
      <c r="AF82" s="102">
        <f>+AE87*$AE$9/2</f>
        <v>0</v>
      </c>
      <c r="AG82" s="102">
        <f t="shared" ref="AG82:AT82" si="88">+AF87*$AE$9/2</f>
        <v>0</v>
      </c>
      <c r="AH82" s="102">
        <f t="shared" si="88"/>
        <v>0</v>
      </c>
      <c r="AI82" s="102">
        <f t="shared" si="88"/>
        <v>0</v>
      </c>
      <c r="AJ82" s="102">
        <f t="shared" si="88"/>
        <v>0</v>
      </c>
      <c r="AK82" s="102">
        <f t="shared" si="88"/>
        <v>0</v>
      </c>
      <c r="AL82" s="102">
        <f t="shared" si="88"/>
        <v>0</v>
      </c>
      <c r="AM82" s="102">
        <f t="shared" si="88"/>
        <v>0</v>
      </c>
      <c r="AN82" s="102">
        <f t="shared" si="88"/>
        <v>0</v>
      </c>
      <c r="AO82" s="102">
        <f t="shared" si="88"/>
        <v>0</v>
      </c>
      <c r="AP82" s="102">
        <f t="shared" si="88"/>
        <v>0</v>
      </c>
      <c r="AQ82" s="102">
        <f t="shared" si="88"/>
        <v>0</v>
      </c>
      <c r="AR82" s="102">
        <f t="shared" si="88"/>
        <v>0</v>
      </c>
      <c r="AS82" s="102">
        <f t="shared" si="88"/>
        <v>0</v>
      </c>
      <c r="AT82" s="102">
        <f t="shared" si="88"/>
        <v>0</v>
      </c>
      <c r="AU82" s="102"/>
      <c r="AV82" s="102"/>
      <c r="AW82" s="102"/>
      <c r="AX82" s="102"/>
      <c r="AY82" s="102"/>
      <c r="AZ82" s="102"/>
      <c r="BA82" s="102"/>
      <c r="BB82" s="102"/>
      <c r="BC82" s="102"/>
      <c r="BD82" s="102"/>
      <c r="BE82" s="102"/>
      <c r="BF82" s="102"/>
      <c r="BG82" s="102"/>
      <c r="BH82" s="102"/>
      <c r="BI82" s="102"/>
    </row>
    <row r="83" spans="1:61" s="17" customFormat="1" hidden="1" outlineLevel="1" x14ac:dyDescent="0.25">
      <c r="A83" s="16" t="str">
        <f t="shared" si="86"/>
        <v>Interest</v>
      </c>
      <c r="B83" s="101">
        <f t="shared" si="78"/>
        <v>0</v>
      </c>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f>+AF86*$AE$9/2</f>
        <v>0</v>
      </c>
      <c r="AG83" s="102">
        <f t="shared" ref="AG83:AT83" si="89">+AG86*$AE$9/2</f>
        <v>0</v>
      </c>
      <c r="AH83" s="102">
        <f t="shared" si="89"/>
        <v>0</v>
      </c>
      <c r="AI83" s="102">
        <f t="shared" si="89"/>
        <v>0</v>
      </c>
      <c r="AJ83" s="102">
        <f t="shared" si="89"/>
        <v>0</v>
      </c>
      <c r="AK83" s="102">
        <f t="shared" si="89"/>
        <v>0</v>
      </c>
      <c r="AL83" s="102">
        <f t="shared" si="89"/>
        <v>0</v>
      </c>
      <c r="AM83" s="102">
        <f t="shared" si="89"/>
        <v>0</v>
      </c>
      <c r="AN83" s="102">
        <f t="shared" si="89"/>
        <v>0</v>
      </c>
      <c r="AO83" s="102">
        <f t="shared" si="89"/>
        <v>0</v>
      </c>
      <c r="AP83" s="102">
        <f t="shared" si="89"/>
        <v>0</v>
      </c>
      <c r="AQ83" s="102">
        <f t="shared" si="89"/>
        <v>0</v>
      </c>
      <c r="AR83" s="102">
        <f t="shared" si="89"/>
        <v>0</v>
      </c>
      <c r="AS83" s="102">
        <f t="shared" si="89"/>
        <v>0</v>
      </c>
      <c r="AT83" s="102">
        <f t="shared" si="89"/>
        <v>0</v>
      </c>
      <c r="AU83" s="102"/>
      <c r="AV83" s="102"/>
      <c r="AW83" s="102"/>
      <c r="AX83" s="102"/>
      <c r="AY83" s="102"/>
      <c r="AZ83" s="102"/>
      <c r="BA83" s="102"/>
      <c r="BB83" s="102"/>
      <c r="BC83" s="102"/>
      <c r="BD83" s="102"/>
      <c r="BE83" s="102"/>
      <c r="BF83" s="102"/>
      <c r="BG83" s="102"/>
      <c r="BH83" s="102"/>
      <c r="BI83" s="102"/>
    </row>
    <row r="84" spans="1:61" s="17" customFormat="1" hidden="1" outlineLevel="1" x14ac:dyDescent="0.25">
      <c r="A84" s="16" t="str">
        <f t="shared" si="86"/>
        <v xml:space="preserve">Debt Servicing </v>
      </c>
      <c r="B84" s="101">
        <f t="shared" si="78"/>
        <v>0</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f>-PMT(AE9/2,AE10*2,AE8)</f>
        <v>0</v>
      </c>
      <c r="AF84" s="102">
        <f t="shared" ref="AF84:AT84" si="90">+AE84</f>
        <v>0</v>
      </c>
      <c r="AG84" s="102">
        <f t="shared" si="90"/>
        <v>0</v>
      </c>
      <c r="AH84" s="102">
        <f t="shared" si="90"/>
        <v>0</v>
      </c>
      <c r="AI84" s="102">
        <f t="shared" si="90"/>
        <v>0</v>
      </c>
      <c r="AJ84" s="102">
        <f t="shared" si="90"/>
        <v>0</v>
      </c>
      <c r="AK84" s="102">
        <f t="shared" si="90"/>
        <v>0</v>
      </c>
      <c r="AL84" s="102">
        <f t="shared" si="90"/>
        <v>0</v>
      </c>
      <c r="AM84" s="102">
        <f t="shared" si="90"/>
        <v>0</v>
      </c>
      <c r="AN84" s="102">
        <f t="shared" si="90"/>
        <v>0</v>
      </c>
      <c r="AO84" s="102">
        <f t="shared" si="90"/>
        <v>0</v>
      </c>
      <c r="AP84" s="102">
        <f t="shared" si="90"/>
        <v>0</v>
      </c>
      <c r="AQ84" s="102">
        <f t="shared" si="90"/>
        <v>0</v>
      </c>
      <c r="AR84" s="102">
        <f t="shared" si="90"/>
        <v>0</v>
      </c>
      <c r="AS84" s="102">
        <f t="shared" si="90"/>
        <v>0</v>
      </c>
      <c r="AT84" s="102">
        <f t="shared" si="90"/>
        <v>0</v>
      </c>
      <c r="AU84" s="102"/>
      <c r="AV84" s="102"/>
      <c r="AW84" s="102"/>
      <c r="AX84" s="102"/>
      <c r="AY84" s="102"/>
      <c r="AZ84" s="102"/>
      <c r="BA84" s="102"/>
      <c r="BB84" s="102"/>
      <c r="BC84" s="102"/>
      <c r="BD84" s="102"/>
      <c r="BE84" s="102"/>
      <c r="BF84" s="102"/>
      <c r="BG84" s="102"/>
      <c r="BH84" s="102"/>
      <c r="BI84" s="102"/>
    </row>
    <row r="85" spans="1:61" s="17" customFormat="1" hidden="1" outlineLevel="1" x14ac:dyDescent="0.25">
      <c r="A85" s="16" t="str">
        <f t="shared" si="86"/>
        <v xml:space="preserve">Debt Servicing </v>
      </c>
      <c r="B85" s="101">
        <f t="shared" si="78"/>
        <v>0</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f t="shared" ref="AF85:AS85" si="91">+AF84</f>
        <v>0</v>
      </c>
      <c r="AG85" s="102">
        <f t="shared" si="91"/>
        <v>0</v>
      </c>
      <c r="AH85" s="102">
        <f t="shared" si="91"/>
        <v>0</v>
      </c>
      <c r="AI85" s="102">
        <f t="shared" si="91"/>
        <v>0</v>
      </c>
      <c r="AJ85" s="102">
        <f t="shared" si="91"/>
        <v>0</v>
      </c>
      <c r="AK85" s="102">
        <f t="shared" si="91"/>
        <v>0</v>
      </c>
      <c r="AL85" s="102">
        <f t="shared" si="91"/>
        <v>0</v>
      </c>
      <c r="AM85" s="102">
        <f t="shared" si="91"/>
        <v>0</v>
      </c>
      <c r="AN85" s="102">
        <f t="shared" si="91"/>
        <v>0</v>
      </c>
      <c r="AO85" s="102">
        <f t="shared" si="91"/>
        <v>0</v>
      </c>
      <c r="AP85" s="102">
        <f t="shared" si="91"/>
        <v>0</v>
      </c>
      <c r="AQ85" s="102">
        <f t="shared" si="91"/>
        <v>0</v>
      </c>
      <c r="AR85" s="102">
        <f t="shared" si="91"/>
        <v>0</v>
      </c>
      <c r="AS85" s="102">
        <f t="shared" si="91"/>
        <v>0</v>
      </c>
      <c r="AT85" s="102"/>
      <c r="AU85" s="102"/>
      <c r="AV85" s="102"/>
      <c r="AW85" s="102"/>
      <c r="AX85" s="102"/>
      <c r="AY85" s="102"/>
      <c r="AZ85" s="102"/>
      <c r="BA85" s="102"/>
      <c r="BB85" s="102"/>
      <c r="BC85" s="102"/>
      <c r="BD85" s="102"/>
      <c r="BE85" s="102"/>
      <c r="BF85" s="102"/>
      <c r="BG85" s="102"/>
      <c r="BH85" s="102"/>
      <c r="BI85" s="102"/>
    </row>
    <row r="86" spans="1:61" s="17" customFormat="1" hidden="1" outlineLevel="1" x14ac:dyDescent="0.25">
      <c r="A86" s="16" t="str">
        <f t="shared" si="86"/>
        <v>Balance mid year</v>
      </c>
      <c r="B86" s="101">
        <f t="shared" si="78"/>
        <v>0</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f t="shared" ref="AF86:AT86" si="92">+AE87-AF80</f>
        <v>0</v>
      </c>
      <c r="AG86" s="102">
        <f t="shared" si="92"/>
        <v>0</v>
      </c>
      <c r="AH86" s="102">
        <f t="shared" si="92"/>
        <v>0</v>
      </c>
      <c r="AI86" s="102">
        <f t="shared" si="92"/>
        <v>0</v>
      </c>
      <c r="AJ86" s="102">
        <f t="shared" si="92"/>
        <v>0</v>
      </c>
      <c r="AK86" s="102">
        <f t="shared" si="92"/>
        <v>0</v>
      </c>
      <c r="AL86" s="102">
        <f t="shared" si="92"/>
        <v>0</v>
      </c>
      <c r="AM86" s="102">
        <f t="shared" si="92"/>
        <v>0</v>
      </c>
      <c r="AN86" s="102">
        <f t="shared" si="92"/>
        <v>0</v>
      </c>
      <c r="AO86" s="102">
        <f t="shared" si="92"/>
        <v>0</v>
      </c>
      <c r="AP86" s="102">
        <f t="shared" si="92"/>
        <v>0</v>
      </c>
      <c r="AQ86" s="102">
        <f t="shared" si="92"/>
        <v>0</v>
      </c>
      <c r="AR86" s="102">
        <f t="shared" si="92"/>
        <v>0</v>
      </c>
      <c r="AS86" s="102">
        <f t="shared" si="92"/>
        <v>0</v>
      </c>
      <c r="AT86" s="102">
        <f t="shared" si="92"/>
        <v>0</v>
      </c>
      <c r="AU86" s="102"/>
      <c r="AV86" s="102"/>
      <c r="AW86" s="102"/>
      <c r="AX86" s="102"/>
      <c r="AY86" s="102"/>
      <c r="AZ86" s="102"/>
      <c r="BA86" s="102"/>
      <c r="BB86" s="102"/>
      <c r="BC86" s="102"/>
      <c r="BD86" s="102"/>
      <c r="BE86" s="102"/>
      <c r="BF86" s="102"/>
      <c r="BG86" s="102"/>
      <c r="BH86" s="102"/>
      <c r="BI86" s="102"/>
    </row>
    <row r="87" spans="1:61" s="17" customFormat="1" hidden="1" outlineLevel="1" x14ac:dyDescent="0.25">
      <c r="A87" s="16" t="str">
        <f t="shared" si="86"/>
        <v>Balance</v>
      </c>
      <c r="B87" s="101">
        <f t="shared" si="78"/>
        <v>0</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f>AE79-AE80</f>
        <v>0</v>
      </c>
      <c r="AF87" s="102">
        <f t="shared" ref="AF87:AT87" si="93">+AF86-AF81</f>
        <v>0</v>
      </c>
      <c r="AG87" s="102">
        <f t="shared" si="93"/>
        <v>0</v>
      </c>
      <c r="AH87" s="102">
        <f t="shared" si="93"/>
        <v>0</v>
      </c>
      <c r="AI87" s="102">
        <f t="shared" si="93"/>
        <v>0</v>
      </c>
      <c r="AJ87" s="102">
        <f t="shared" si="93"/>
        <v>0</v>
      </c>
      <c r="AK87" s="102">
        <f t="shared" si="93"/>
        <v>0</v>
      </c>
      <c r="AL87" s="102">
        <f t="shared" si="93"/>
        <v>0</v>
      </c>
      <c r="AM87" s="102">
        <f t="shared" si="93"/>
        <v>0</v>
      </c>
      <c r="AN87" s="102">
        <f t="shared" si="93"/>
        <v>0</v>
      </c>
      <c r="AO87" s="102">
        <f t="shared" si="93"/>
        <v>0</v>
      </c>
      <c r="AP87" s="102">
        <f t="shared" si="93"/>
        <v>0</v>
      </c>
      <c r="AQ87" s="102">
        <f t="shared" si="93"/>
        <v>0</v>
      </c>
      <c r="AR87" s="102">
        <f t="shared" si="93"/>
        <v>0</v>
      </c>
      <c r="AS87" s="102">
        <f t="shared" si="93"/>
        <v>0</v>
      </c>
      <c r="AT87" s="102">
        <f t="shared" si="93"/>
        <v>0</v>
      </c>
      <c r="AU87" s="102"/>
      <c r="AV87" s="102"/>
      <c r="AW87" s="102"/>
      <c r="AX87" s="102"/>
      <c r="AY87" s="102"/>
      <c r="AZ87" s="102"/>
      <c r="BA87" s="102"/>
      <c r="BB87" s="102"/>
      <c r="BC87" s="102"/>
      <c r="BD87" s="102"/>
      <c r="BE87" s="102"/>
      <c r="BF87" s="102"/>
      <c r="BG87" s="102"/>
      <c r="BH87" s="102"/>
      <c r="BI87" s="102"/>
    </row>
    <row r="88" spans="1:61" s="17" customFormat="1" hidden="1" outlineLevel="1" x14ac:dyDescent="0.25">
      <c r="A88" s="16"/>
      <c r="B88" s="101">
        <f t="shared" si="78"/>
        <v>0</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row>
    <row r="89" spans="1:61" hidden="1" outlineLevel="1" x14ac:dyDescent="0.25">
      <c r="A89" s="20" t="str">
        <f t="shared" ref="A89:A97" si="94">A79</f>
        <v>Debt Forecasted</v>
      </c>
      <c r="B89" s="101">
        <f t="shared" si="78"/>
        <v>0</v>
      </c>
      <c r="C89" s="102">
        <v>0</v>
      </c>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f>AF8</f>
        <v>0</v>
      </c>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row>
    <row r="90" spans="1:61" s="17" customFormat="1" hidden="1" outlineLevel="1" x14ac:dyDescent="0.25">
      <c r="A90" s="16" t="str">
        <f t="shared" si="94"/>
        <v>Principal</v>
      </c>
      <c r="B90" s="101">
        <f t="shared" si="78"/>
        <v>0</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f t="shared" ref="AF90:AU91" si="95">+AF94-AF92</f>
        <v>0</v>
      </c>
      <c r="AG90" s="102">
        <f t="shared" si="95"/>
        <v>0</v>
      </c>
      <c r="AH90" s="102">
        <f t="shared" si="95"/>
        <v>0</v>
      </c>
      <c r="AI90" s="102">
        <f t="shared" si="95"/>
        <v>0</v>
      </c>
      <c r="AJ90" s="102">
        <f t="shared" si="95"/>
        <v>0</v>
      </c>
      <c r="AK90" s="102">
        <f t="shared" si="95"/>
        <v>0</v>
      </c>
      <c r="AL90" s="102">
        <f t="shared" si="95"/>
        <v>0</v>
      </c>
      <c r="AM90" s="102">
        <f t="shared" si="95"/>
        <v>0</v>
      </c>
      <c r="AN90" s="102">
        <f t="shared" si="95"/>
        <v>0</v>
      </c>
      <c r="AO90" s="102">
        <f t="shared" si="95"/>
        <v>0</v>
      </c>
      <c r="AP90" s="102">
        <f t="shared" si="95"/>
        <v>0</v>
      </c>
      <c r="AQ90" s="102">
        <f t="shared" si="95"/>
        <v>0</v>
      </c>
      <c r="AR90" s="102">
        <f t="shared" si="95"/>
        <v>0</v>
      </c>
      <c r="AS90" s="102">
        <f t="shared" si="95"/>
        <v>0</v>
      </c>
      <c r="AT90" s="102">
        <f t="shared" si="95"/>
        <v>0</v>
      </c>
      <c r="AU90" s="102">
        <f t="shared" si="95"/>
        <v>0</v>
      </c>
      <c r="AV90" s="102"/>
      <c r="AW90" s="102"/>
      <c r="AX90" s="102"/>
      <c r="AY90" s="102"/>
      <c r="AZ90" s="102"/>
      <c r="BA90" s="102"/>
      <c r="BB90" s="102"/>
      <c r="BC90" s="102"/>
      <c r="BD90" s="102"/>
      <c r="BE90" s="102"/>
      <c r="BF90" s="102"/>
      <c r="BG90" s="102"/>
      <c r="BH90" s="102"/>
      <c r="BI90" s="102"/>
    </row>
    <row r="91" spans="1:61" s="17" customFormat="1" hidden="1" outlineLevel="1" x14ac:dyDescent="0.25">
      <c r="A91" s="16" t="str">
        <f t="shared" si="94"/>
        <v>Principal</v>
      </c>
      <c r="B91" s="101">
        <f t="shared" si="78"/>
        <v>0</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f t="shared" si="95"/>
        <v>0</v>
      </c>
      <c r="AH91" s="102">
        <f t="shared" si="95"/>
        <v>0</v>
      </c>
      <c r="AI91" s="102">
        <f t="shared" si="95"/>
        <v>0</v>
      </c>
      <c r="AJ91" s="102">
        <f t="shared" si="95"/>
        <v>0</v>
      </c>
      <c r="AK91" s="102">
        <f t="shared" si="95"/>
        <v>0</v>
      </c>
      <c r="AL91" s="102">
        <f t="shared" si="95"/>
        <v>0</v>
      </c>
      <c r="AM91" s="102">
        <f t="shared" si="95"/>
        <v>0</v>
      </c>
      <c r="AN91" s="102">
        <f t="shared" si="95"/>
        <v>0</v>
      </c>
      <c r="AO91" s="102">
        <f t="shared" si="95"/>
        <v>0</v>
      </c>
      <c r="AP91" s="102">
        <f t="shared" si="95"/>
        <v>0</v>
      </c>
      <c r="AQ91" s="102">
        <f t="shared" si="95"/>
        <v>0</v>
      </c>
      <c r="AR91" s="102">
        <f t="shared" si="95"/>
        <v>0</v>
      </c>
      <c r="AS91" s="102">
        <f t="shared" si="95"/>
        <v>0</v>
      </c>
      <c r="AT91" s="102">
        <f t="shared" si="95"/>
        <v>0</v>
      </c>
      <c r="AU91" s="102">
        <f t="shared" si="95"/>
        <v>0</v>
      </c>
      <c r="AV91" s="102"/>
      <c r="AW91" s="102"/>
      <c r="AX91" s="102"/>
      <c r="AY91" s="102"/>
      <c r="AZ91" s="102"/>
      <c r="BA91" s="102"/>
      <c r="BB91" s="102"/>
      <c r="BC91" s="102"/>
      <c r="BD91" s="102"/>
      <c r="BE91" s="102"/>
      <c r="BF91" s="102"/>
      <c r="BG91" s="102"/>
      <c r="BH91" s="102"/>
      <c r="BI91" s="102"/>
    </row>
    <row r="92" spans="1:61" s="17" customFormat="1" hidden="1" outlineLevel="1" x14ac:dyDescent="0.25">
      <c r="A92" s="16" t="str">
        <f t="shared" si="94"/>
        <v>Interest</v>
      </c>
      <c r="B92" s="101">
        <f t="shared" si="78"/>
        <v>0</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f>AF89*AF9/2</f>
        <v>0</v>
      </c>
      <c r="AG92" s="102">
        <f>+AF97*$AF$9/2</f>
        <v>0</v>
      </c>
      <c r="AH92" s="102">
        <f t="shared" ref="AH92:AU92" si="96">+AG97*$AF$9/2</f>
        <v>0</v>
      </c>
      <c r="AI92" s="102">
        <f t="shared" si="96"/>
        <v>0</v>
      </c>
      <c r="AJ92" s="102">
        <f t="shared" si="96"/>
        <v>0</v>
      </c>
      <c r="AK92" s="102">
        <f t="shared" si="96"/>
        <v>0</v>
      </c>
      <c r="AL92" s="102">
        <f t="shared" si="96"/>
        <v>0</v>
      </c>
      <c r="AM92" s="102">
        <f t="shared" si="96"/>
        <v>0</v>
      </c>
      <c r="AN92" s="102">
        <f t="shared" si="96"/>
        <v>0</v>
      </c>
      <c r="AO92" s="102">
        <f t="shared" si="96"/>
        <v>0</v>
      </c>
      <c r="AP92" s="102">
        <f t="shared" si="96"/>
        <v>0</v>
      </c>
      <c r="AQ92" s="102">
        <f t="shared" si="96"/>
        <v>0</v>
      </c>
      <c r="AR92" s="102">
        <f t="shared" si="96"/>
        <v>0</v>
      </c>
      <c r="AS92" s="102">
        <f t="shared" si="96"/>
        <v>0</v>
      </c>
      <c r="AT92" s="102">
        <f t="shared" si="96"/>
        <v>0</v>
      </c>
      <c r="AU92" s="102">
        <f t="shared" si="96"/>
        <v>0</v>
      </c>
      <c r="AV92" s="102"/>
      <c r="AW92" s="102"/>
      <c r="AX92" s="102"/>
      <c r="AY92" s="102"/>
      <c r="AZ92" s="102"/>
      <c r="BA92" s="102"/>
      <c r="BB92" s="102"/>
      <c r="BC92" s="102"/>
      <c r="BD92" s="102"/>
      <c r="BE92" s="102"/>
      <c r="BF92" s="102"/>
      <c r="BG92" s="102"/>
      <c r="BH92" s="102"/>
      <c r="BI92" s="102"/>
    </row>
    <row r="93" spans="1:61" s="17" customFormat="1" hidden="1" outlineLevel="1" x14ac:dyDescent="0.25">
      <c r="A93" s="16" t="str">
        <f t="shared" si="94"/>
        <v>Interest</v>
      </c>
      <c r="B93" s="101">
        <f t="shared" si="78"/>
        <v>0</v>
      </c>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f>+AG96*$AF$9/2</f>
        <v>0</v>
      </c>
      <c r="AH93" s="102">
        <f t="shared" ref="AH93:AU93" si="97">+AH96*$AF$9/2</f>
        <v>0</v>
      </c>
      <c r="AI93" s="102">
        <f t="shared" si="97"/>
        <v>0</v>
      </c>
      <c r="AJ93" s="102">
        <f t="shared" si="97"/>
        <v>0</v>
      </c>
      <c r="AK93" s="102">
        <f t="shared" si="97"/>
        <v>0</v>
      </c>
      <c r="AL93" s="102">
        <f t="shared" si="97"/>
        <v>0</v>
      </c>
      <c r="AM93" s="102">
        <f t="shared" si="97"/>
        <v>0</v>
      </c>
      <c r="AN93" s="102">
        <f t="shared" si="97"/>
        <v>0</v>
      </c>
      <c r="AO93" s="102">
        <f t="shared" si="97"/>
        <v>0</v>
      </c>
      <c r="AP93" s="102">
        <f t="shared" si="97"/>
        <v>0</v>
      </c>
      <c r="AQ93" s="102">
        <f t="shared" si="97"/>
        <v>0</v>
      </c>
      <c r="AR93" s="102">
        <f t="shared" si="97"/>
        <v>0</v>
      </c>
      <c r="AS93" s="102">
        <f t="shared" si="97"/>
        <v>0</v>
      </c>
      <c r="AT93" s="102">
        <f t="shared" si="97"/>
        <v>0</v>
      </c>
      <c r="AU93" s="102">
        <f t="shared" si="97"/>
        <v>0</v>
      </c>
      <c r="AV93" s="102"/>
      <c r="AW93" s="102"/>
      <c r="AX93" s="102"/>
      <c r="AY93" s="102"/>
      <c r="AZ93" s="102"/>
      <c r="BA93" s="102"/>
      <c r="BB93" s="102"/>
      <c r="BC93" s="102"/>
      <c r="BD93" s="102"/>
      <c r="BE93" s="102"/>
      <c r="BF93" s="102"/>
      <c r="BG93" s="102"/>
      <c r="BH93" s="102"/>
      <c r="BI93" s="102"/>
    </row>
    <row r="94" spans="1:61" s="17" customFormat="1" hidden="1" outlineLevel="1" x14ac:dyDescent="0.25">
      <c r="A94" s="16" t="str">
        <f t="shared" si="94"/>
        <v xml:space="preserve">Debt Servicing </v>
      </c>
      <c r="B94" s="101">
        <f t="shared" si="78"/>
        <v>0</v>
      </c>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f>-PMT(AF9/2,AF10*2,AF8)</f>
        <v>0</v>
      </c>
      <c r="AG94" s="102">
        <f t="shared" ref="AG94:AU94" si="98">+AF94</f>
        <v>0</v>
      </c>
      <c r="AH94" s="102">
        <f t="shared" si="98"/>
        <v>0</v>
      </c>
      <c r="AI94" s="102">
        <f t="shared" si="98"/>
        <v>0</v>
      </c>
      <c r="AJ94" s="102">
        <f t="shared" si="98"/>
        <v>0</v>
      </c>
      <c r="AK94" s="102">
        <f t="shared" si="98"/>
        <v>0</v>
      </c>
      <c r="AL94" s="102">
        <f t="shared" si="98"/>
        <v>0</v>
      </c>
      <c r="AM94" s="102">
        <f t="shared" si="98"/>
        <v>0</v>
      </c>
      <c r="AN94" s="102">
        <f t="shared" si="98"/>
        <v>0</v>
      </c>
      <c r="AO94" s="102">
        <f t="shared" si="98"/>
        <v>0</v>
      </c>
      <c r="AP94" s="102">
        <f t="shared" si="98"/>
        <v>0</v>
      </c>
      <c r="AQ94" s="102">
        <f t="shared" si="98"/>
        <v>0</v>
      </c>
      <c r="AR94" s="102">
        <f t="shared" si="98"/>
        <v>0</v>
      </c>
      <c r="AS94" s="102">
        <f t="shared" si="98"/>
        <v>0</v>
      </c>
      <c r="AT94" s="102">
        <f t="shared" si="98"/>
        <v>0</v>
      </c>
      <c r="AU94" s="102">
        <f t="shared" si="98"/>
        <v>0</v>
      </c>
      <c r="AV94" s="102"/>
      <c r="AW94" s="102"/>
      <c r="AX94" s="102"/>
      <c r="AY94" s="102"/>
      <c r="AZ94" s="102"/>
      <c r="BA94" s="102"/>
      <c r="BB94" s="102"/>
      <c r="BC94" s="102"/>
      <c r="BD94" s="102"/>
      <c r="BE94" s="102"/>
      <c r="BF94" s="102"/>
      <c r="BG94" s="102"/>
      <c r="BH94" s="102"/>
      <c r="BI94" s="102"/>
    </row>
    <row r="95" spans="1:61" s="17" customFormat="1" hidden="1" outlineLevel="1" x14ac:dyDescent="0.25">
      <c r="A95" s="16" t="str">
        <f t="shared" si="94"/>
        <v xml:space="preserve">Debt Servicing </v>
      </c>
      <c r="B95" s="101">
        <f t="shared" si="78"/>
        <v>0</v>
      </c>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f t="shared" ref="AG95:AT95" si="99">+AG94</f>
        <v>0</v>
      </c>
      <c r="AH95" s="102">
        <f t="shared" si="99"/>
        <v>0</v>
      </c>
      <c r="AI95" s="102">
        <f t="shared" si="99"/>
        <v>0</v>
      </c>
      <c r="AJ95" s="102">
        <f t="shared" si="99"/>
        <v>0</v>
      </c>
      <c r="AK95" s="102">
        <f t="shared" si="99"/>
        <v>0</v>
      </c>
      <c r="AL95" s="102">
        <f t="shared" si="99"/>
        <v>0</v>
      </c>
      <c r="AM95" s="102">
        <f t="shared" si="99"/>
        <v>0</v>
      </c>
      <c r="AN95" s="102">
        <f t="shared" si="99"/>
        <v>0</v>
      </c>
      <c r="AO95" s="102">
        <f t="shared" si="99"/>
        <v>0</v>
      </c>
      <c r="AP95" s="102">
        <f t="shared" si="99"/>
        <v>0</v>
      </c>
      <c r="AQ95" s="102">
        <f t="shared" si="99"/>
        <v>0</v>
      </c>
      <c r="AR95" s="102">
        <f t="shared" si="99"/>
        <v>0</v>
      </c>
      <c r="AS95" s="102">
        <f t="shared" si="99"/>
        <v>0</v>
      </c>
      <c r="AT95" s="102">
        <f t="shared" si="99"/>
        <v>0</v>
      </c>
      <c r="AU95" s="102"/>
      <c r="AV95" s="102"/>
      <c r="AW95" s="102"/>
      <c r="AX95" s="102"/>
      <c r="AY95" s="102"/>
      <c r="AZ95" s="102"/>
      <c r="BA95" s="102"/>
      <c r="BB95" s="102"/>
      <c r="BC95" s="102"/>
      <c r="BD95" s="102"/>
      <c r="BE95" s="102"/>
      <c r="BF95" s="102"/>
      <c r="BG95" s="102"/>
      <c r="BH95" s="102"/>
      <c r="BI95" s="102"/>
    </row>
    <row r="96" spans="1:61" s="17" customFormat="1" hidden="1" outlineLevel="1" x14ac:dyDescent="0.25">
      <c r="A96" s="16" t="str">
        <f t="shared" si="94"/>
        <v>Balance mid year</v>
      </c>
      <c r="B96" s="101">
        <f t="shared" si="78"/>
        <v>0</v>
      </c>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f t="shared" ref="AG96:AU96" si="100">+AF97-AG90</f>
        <v>0</v>
      </c>
      <c r="AH96" s="102">
        <f t="shared" si="100"/>
        <v>0</v>
      </c>
      <c r="AI96" s="102">
        <f t="shared" si="100"/>
        <v>0</v>
      </c>
      <c r="AJ96" s="102">
        <f t="shared" si="100"/>
        <v>0</v>
      </c>
      <c r="AK96" s="102">
        <f t="shared" si="100"/>
        <v>0</v>
      </c>
      <c r="AL96" s="102">
        <f t="shared" si="100"/>
        <v>0</v>
      </c>
      <c r="AM96" s="102">
        <f t="shared" si="100"/>
        <v>0</v>
      </c>
      <c r="AN96" s="102">
        <f t="shared" si="100"/>
        <v>0</v>
      </c>
      <c r="AO96" s="102">
        <f t="shared" si="100"/>
        <v>0</v>
      </c>
      <c r="AP96" s="102">
        <f t="shared" si="100"/>
        <v>0</v>
      </c>
      <c r="AQ96" s="102">
        <f t="shared" si="100"/>
        <v>0</v>
      </c>
      <c r="AR96" s="102">
        <f t="shared" si="100"/>
        <v>0</v>
      </c>
      <c r="AS96" s="102">
        <f t="shared" si="100"/>
        <v>0</v>
      </c>
      <c r="AT96" s="102">
        <f t="shared" si="100"/>
        <v>0</v>
      </c>
      <c r="AU96" s="102">
        <f t="shared" si="100"/>
        <v>0</v>
      </c>
      <c r="AV96" s="102"/>
      <c r="AW96" s="102"/>
      <c r="AX96" s="102"/>
      <c r="AY96" s="102"/>
      <c r="AZ96" s="102"/>
      <c r="BA96" s="102"/>
      <c r="BB96" s="102"/>
      <c r="BC96" s="102"/>
      <c r="BD96" s="102"/>
      <c r="BE96" s="102"/>
      <c r="BF96" s="102"/>
      <c r="BG96" s="102"/>
      <c r="BH96" s="102"/>
      <c r="BI96" s="102"/>
    </row>
    <row r="97" spans="1:61" s="17" customFormat="1" hidden="1" outlineLevel="1" x14ac:dyDescent="0.25">
      <c r="A97" s="16" t="str">
        <f t="shared" si="94"/>
        <v>Balance</v>
      </c>
      <c r="B97" s="101">
        <f t="shared" si="78"/>
        <v>0</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f>AF89-AF90</f>
        <v>0</v>
      </c>
      <c r="AG97" s="102">
        <f t="shared" ref="AG97:AU97" si="101">+AG96-AG91</f>
        <v>0</v>
      </c>
      <c r="AH97" s="102">
        <f t="shared" si="101"/>
        <v>0</v>
      </c>
      <c r="AI97" s="102">
        <f t="shared" si="101"/>
        <v>0</v>
      </c>
      <c r="AJ97" s="102">
        <f t="shared" si="101"/>
        <v>0</v>
      </c>
      <c r="AK97" s="102">
        <f t="shared" si="101"/>
        <v>0</v>
      </c>
      <c r="AL97" s="102">
        <f t="shared" si="101"/>
        <v>0</v>
      </c>
      <c r="AM97" s="102">
        <f t="shared" si="101"/>
        <v>0</v>
      </c>
      <c r="AN97" s="102">
        <f t="shared" si="101"/>
        <v>0</v>
      </c>
      <c r="AO97" s="102">
        <f t="shared" si="101"/>
        <v>0</v>
      </c>
      <c r="AP97" s="102">
        <f t="shared" si="101"/>
        <v>0</v>
      </c>
      <c r="AQ97" s="102">
        <f t="shared" si="101"/>
        <v>0</v>
      </c>
      <c r="AR97" s="102">
        <f t="shared" si="101"/>
        <v>0</v>
      </c>
      <c r="AS97" s="102">
        <f t="shared" si="101"/>
        <v>0</v>
      </c>
      <c r="AT97" s="102">
        <f t="shared" si="101"/>
        <v>0</v>
      </c>
      <c r="AU97" s="102">
        <f t="shared" si="101"/>
        <v>0</v>
      </c>
      <c r="AV97" s="102"/>
      <c r="AW97" s="102"/>
      <c r="AX97" s="102"/>
      <c r="AY97" s="102"/>
      <c r="AZ97" s="102"/>
      <c r="BA97" s="102"/>
      <c r="BB97" s="102"/>
      <c r="BC97" s="102"/>
      <c r="BD97" s="102"/>
      <c r="BE97" s="102"/>
      <c r="BF97" s="102"/>
      <c r="BG97" s="102"/>
      <c r="BH97" s="102"/>
      <c r="BI97" s="102"/>
    </row>
    <row r="98" spans="1:61" s="17" customFormat="1" hidden="1" outlineLevel="1" x14ac:dyDescent="0.25">
      <c r="A98" s="16"/>
      <c r="B98" s="101"/>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row>
    <row r="99" spans="1:61" hidden="1" outlineLevel="1" x14ac:dyDescent="0.25">
      <c r="A99" s="20" t="str">
        <f t="shared" ref="A99:A107" si="102">A89</f>
        <v>Debt Forecasted</v>
      </c>
      <c r="B99" s="101">
        <f t="shared" ref="B99:B117" si="103">SUM(C99:BB99)</f>
        <v>0</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f>AG8</f>
        <v>0</v>
      </c>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row>
    <row r="100" spans="1:61" s="17" customFormat="1" hidden="1" outlineLevel="1" x14ac:dyDescent="0.25">
      <c r="A100" s="16" t="str">
        <f t="shared" si="102"/>
        <v>Principal</v>
      </c>
      <c r="B100" s="101">
        <f t="shared" si="103"/>
        <v>0</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f t="shared" ref="AG100:AV101" si="104">+AG104-AG102</f>
        <v>0</v>
      </c>
      <c r="AH100" s="102">
        <f t="shared" si="104"/>
        <v>0</v>
      </c>
      <c r="AI100" s="102">
        <f t="shared" si="104"/>
        <v>0</v>
      </c>
      <c r="AJ100" s="102">
        <f t="shared" si="104"/>
        <v>0</v>
      </c>
      <c r="AK100" s="102">
        <f t="shared" si="104"/>
        <v>0</v>
      </c>
      <c r="AL100" s="102">
        <f t="shared" si="104"/>
        <v>0</v>
      </c>
      <c r="AM100" s="102">
        <f t="shared" si="104"/>
        <v>0</v>
      </c>
      <c r="AN100" s="102">
        <f t="shared" si="104"/>
        <v>0</v>
      </c>
      <c r="AO100" s="102">
        <f t="shared" si="104"/>
        <v>0</v>
      </c>
      <c r="AP100" s="102">
        <f t="shared" si="104"/>
        <v>0</v>
      </c>
      <c r="AQ100" s="102">
        <f t="shared" si="104"/>
        <v>0</v>
      </c>
      <c r="AR100" s="102">
        <f t="shared" si="104"/>
        <v>0</v>
      </c>
      <c r="AS100" s="102">
        <f t="shared" si="104"/>
        <v>0</v>
      </c>
      <c r="AT100" s="102">
        <f t="shared" si="104"/>
        <v>0</v>
      </c>
      <c r="AU100" s="102">
        <f t="shared" si="104"/>
        <v>0</v>
      </c>
      <c r="AV100" s="102">
        <f t="shared" si="104"/>
        <v>0</v>
      </c>
      <c r="AW100" s="102"/>
      <c r="AX100" s="102"/>
      <c r="AY100" s="102"/>
      <c r="AZ100" s="102"/>
      <c r="BA100" s="102"/>
      <c r="BB100" s="102"/>
      <c r="BC100" s="102"/>
      <c r="BD100" s="102"/>
      <c r="BE100" s="102"/>
      <c r="BF100" s="102"/>
      <c r="BG100" s="102"/>
      <c r="BH100" s="102"/>
      <c r="BI100" s="102"/>
    </row>
    <row r="101" spans="1:61" s="17" customFormat="1" hidden="1" outlineLevel="1" x14ac:dyDescent="0.25">
      <c r="A101" s="16" t="str">
        <f t="shared" si="102"/>
        <v>Principal</v>
      </c>
      <c r="B101" s="101">
        <f t="shared" si="103"/>
        <v>0</v>
      </c>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f t="shared" si="104"/>
        <v>0</v>
      </c>
      <c r="AI101" s="102">
        <f t="shared" si="104"/>
        <v>0</v>
      </c>
      <c r="AJ101" s="102">
        <f t="shared" si="104"/>
        <v>0</v>
      </c>
      <c r="AK101" s="102">
        <f t="shared" si="104"/>
        <v>0</v>
      </c>
      <c r="AL101" s="102">
        <f t="shared" si="104"/>
        <v>0</v>
      </c>
      <c r="AM101" s="102">
        <f t="shared" si="104"/>
        <v>0</v>
      </c>
      <c r="AN101" s="102">
        <f t="shared" si="104"/>
        <v>0</v>
      </c>
      <c r="AO101" s="102">
        <f t="shared" si="104"/>
        <v>0</v>
      </c>
      <c r="AP101" s="102">
        <f t="shared" si="104"/>
        <v>0</v>
      </c>
      <c r="AQ101" s="102">
        <f t="shared" si="104"/>
        <v>0</v>
      </c>
      <c r="AR101" s="102">
        <f t="shared" si="104"/>
        <v>0</v>
      </c>
      <c r="AS101" s="102">
        <f t="shared" si="104"/>
        <v>0</v>
      </c>
      <c r="AT101" s="102">
        <f t="shared" si="104"/>
        <v>0</v>
      </c>
      <c r="AU101" s="102">
        <f t="shared" si="104"/>
        <v>0</v>
      </c>
      <c r="AV101" s="102">
        <f t="shared" si="104"/>
        <v>0</v>
      </c>
      <c r="AW101" s="102"/>
      <c r="AX101" s="102"/>
      <c r="AY101" s="102"/>
      <c r="AZ101" s="102"/>
      <c r="BA101" s="102"/>
      <c r="BB101" s="102"/>
      <c r="BC101" s="102"/>
      <c r="BD101" s="102"/>
      <c r="BE101" s="102"/>
      <c r="BF101" s="102"/>
      <c r="BG101" s="102"/>
      <c r="BH101" s="102"/>
      <c r="BI101" s="102"/>
    </row>
    <row r="102" spans="1:61" s="17" customFormat="1" hidden="1" outlineLevel="1" x14ac:dyDescent="0.25">
      <c r="A102" s="16" t="str">
        <f t="shared" si="102"/>
        <v>Interest</v>
      </c>
      <c r="B102" s="101">
        <f t="shared" si="103"/>
        <v>0</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f>AG8*AG9/2</f>
        <v>0</v>
      </c>
      <c r="AH102" s="102">
        <f>+AG107*$AG$9/2</f>
        <v>0</v>
      </c>
      <c r="AI102" s="102">
        <f t="shared" ref="AI102:AV102" si="105">+AH107*$AG$9/2</f>
        <v>0</v>
      </c>
      <c r="AJ102" s="102">
        <f t="shared" si="105"/>
        <v>0</v>
      </c>
      <c r="AK102" s="102">
        <f t="shared" si="105"/>
        <v>0</v>
      </c>
      <c r="AL102" s="102">
        <f t="shared" si="105"/>
        <v>0</v>
      </c>
      <c r="AM102" s="102">
        <f t="shared" si="105"/>
        <v>0</v>
      </c>
      <c r="AN102" s="102">
        <f t="shared" si="105"/>
        <v>0</v>
      </c>
      <c r="AO102" s="102">
        <f t="shared" si="105"/>
        <v>0</v>
      </c>
      <c r="AP102" s="102">
        <f t="shared" si="105"/>
        <v>0</v>
      </c>
      <c r="AQ102" s="102">
        <f t="shared" si="105"/>
        <v>0</v>
      </c>
      <c r="AR102" s="102">
        <f t="shared" si="105"/>
        <v>0</v>
      </c>
      <c r="AS102" s="102">
        <f t="shared" si="105"/>
        <v>0</v>
      </c>
      <c r="AT102" s="102">
        <f t="shared" si="105"/>
        <v>0</v>
      </c>
      <c r="AU102" s="102">
        <f t="shared" si="105"/>
        <v>0</v>
      </c>
      <c r="AV102" s="102">
        <f t="shared" si="105"/>
        <v>0</v>
      </c>
      <c r="AW102" s="102"/>
      <c r="AX102" s="102"/>
      <c r="AY102" s="102"/>
      <c r="AZ102" s="102"/>
      <c r="BA102" s="102"/>
      <c r="BB102" s="102"/>
      <c r="BC102" s="102"/>
      <c r="BD102" s="102"/>
      <c r="BE102" s="102"/>
      <c r="BF102" s="102"/>
      <c r="BG102" s="102"/>
      <c r="BH102" s="102"/>
      <c r="BI102" s="102"/>
    </row>
    <row r="103" spans="1:61" s="17" customFormat="1" hidden="1" outlineLevel="1" x14ac:dyDescent="0.25">
      <c r="A103" s="16" t="str">
        <f t="shared" si="102"/>
        <v>Interest</v>
      </c>
      <c r="B103" s="101">
        <f t="shared" si="103"/>
        <v>0</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f>+AH106*$AG$9/2</f>
        <v>0</v>
      </c>
      <c r="AI103" s="102">
        <f t="shared" ref="AI103:AV103" si="106">+AI106*$AG$9/2</f>
        <v>0</v>
      </c>
      <c r="AJ103" s="102">
        <f t="shared" si="106"/>
        <v>0</v>
      </c>
      <c r="AK103" s="102">
        <f t="shared" si="106"/>
        <v>0</v>
      </c>
      <c r="AL103" s="102">
        <f t="shared" si="106"/>
        <v>0</v>
      </c>
      <c r="AM103" s="102">
        <f t="shared" si="106"/>
        <v>0</v>
      </c>
      <c r="AN103" s="102">
        <f t="shared" si="106"/>
        <v>0</v>
      </c>
      <c r="AO103" s="102">
        <f t="shared" si="106"/>
        <v>0</v>
      </c>
      <c r="AP103" s="102">
        <f t="shared" si="106"/>
        <v>0</v>
      </c>
      <c r="AQ103" s="102">
        <f t="shared" si="106"/>
        <v>0</v>
      </c>
      <c r="AR103" s="102">
        <f t="shared" si="106"/>
        <v>0</v>
      </c>
      <c r="AS103" s="102">
        <f t="shared" si="106"/>
        <v>0</v>
      </c>
      <c r="AT103" s="102">
        <f t="shared" si="106"/>
        <v>0</v>
      </c>
      <c r="AU103" s="102">
        <f t="shared" si="106"/>
        <v>0</v>
      </c>
      <c r="AV103" s="102">
        <f t="shared" si="106"/>
        <v>0</v>
      </c>
      <c r="AW103" s="102"/>
      <c r="AX103" s="102"/>
      <c r="AY103" s="102"/>
      <c r="AZ103" s="102"/>
      <c r="BA103" s="102"/>
      <c r="BB103" s="102"/>
      <c r="BC103" s="102"/>
      <c r="BD103" s="102"/>
      <c r="BE103" s="102"/>
      <c r="BF103" s="102"/>
      <c r="BG103" s="102"/>
      <c r="BH103" s="102"/>
      <c r="BI103" s="102"/>
    </row>
    <row r="104" spans="1:61" s="17" customFormat="1" hidden="1" outlineLevel="1" x14ac:dyDescent="0.25">
      <c r="A104" s="16" t="str">
        <f t="shared" si="102"/>
        <v xml:space="preserve">Debt Servicing </v>
      </c>
      <c r="B104" s="101">
        <f t="shared" si="103"/>
        <v>0</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f>-PMT(AG9/2,AG10*2,AG8)</f>
        <v>0</v>
      </c>
      <c r="AH104" s="102">
        <f t="shared" ref="AH104:AV104" si="107">+AG104</f>
        <v>0</v>
      </c>
      <c r="AI104" s="102">
        <f t="shared" si="107"/>
        <v>0</v>
      </c>
      <c r="AJ104" s="102">
        <f t="shared" si="107"/>
        <v>0</v>
      </c>
      <c r="AK104" s="102">
        <f t="shared" si="107"/>
        <v>0</v>
      </c>
      <c r="AL104" s="102">
        <f t="shared" si="107"/>
        <v>0</v>
      </c>
      <c r="AM104" s="102">
        <f t="shared" si="107"/>
        <v>0</v>
      </c>
      <c r="AN104" s="102">
        <f t="shared" si="107"/>
        <v>0</v>
      </c>
      <c r="AO104" s="102">
        <f t="shared" si="107"/>
        <v>0</v>
      </c>
      <c r="AP104" s="102">
        <f t="shared" si="107"/>
        <v>0</v>
      </c>
      <c r="AQ104" s="102">
        <f t="shared" si="107"/>
        <v>0</v>
      </c>
      <c r="AR104" s="102">
        <f t="shared" si="107"/>
        <v>0</v>
      </c>
      <c r="AS104" s="102">
        <f t="shared" si="107"/>
        <v>0</v>
      </c>
      <c r="AT104" s="102">
        <f t="shared" si="107"/>
        <v>0</v>
      </c>
      <c r="AU104" s="102">
        <f t="shared" si="107"/>
        <v>0</v>
      </c>
      <c r="AV104" s="102">
        <f t="shared" si="107"/>
        <v>0</v>
      </c>
      <c r="AW104" s="102"/>
      <c r="AX104" s="102"/>
      <c r="AY104" s="102"/>
      <c r="AZ104" s="102"/>
      <c r="BA104" s="102"/>
      <c r="BB104" s="102"/>
      <c r="BC104" s="102"/>
      <c r="BD104" s="102"/>
      <c r="BE104" s="102"/>
      <c r="BF104" s="102"/>
      <c r="BG104" s="102"/>
      <c r="BH104" s="102"/>
      <c r="BI104" s="102"/>
    </row>
    <row r="105" spans="1:61" s="17" customFormat="1" hidden="1" outlineLevel="1" x14ac:dyDescent="0.25">
      <c r="A105" s="16" t="str">
        <f t="shared" si="102"/>
        <v xml:space="preserve">Debt Servicing </v>
      </c>
      <c r="B105" s="101">
        <f t="shared" si="103"/>
        <v>0</v>
      </c>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f t="shared" ref="AH105:AU105" si="108">+AH104</f>
        <v>0</v>
      </c>
      <c r="AI105" s="102">
        <f t="shared" si="108"/>
        <v>0</v>
      </c>
      <c r="AJ105" s="102">
        <f t="shared" si="108"/>
        <v>0</v>
      </c>
      <c r="AK105" s="102">
        <f t="shared" si="108"/>
        <v>0</v>
      </c>
      <c r="AL105" s="102">
        <f t="shared" si="108"/>
        <v>0</v>
      </c>
      <c r="AM105" s="102">
        <f t="shared" si="108"/>
        <v>0</v>
      </c>
      <c r="AN105" s="102">
        <f t="shared" si="108"/>
        <v>0</v>
      </c>
      <c r="AO105" s="102">
        <f t="shared" si="108"/>
        <v>0</v>
      </c>
      <c r="AP105" s="102">
        <f t="shared" si="108"/>
        <v>0</v>
      </c>
      <c r="AQ105" s="102">
        <f t="shared" si="108"/>
        <v>0</v>
      </c>
      <c r="AR105" s="102">
        <f t="shared" si="108"/>
        <v>0</v>
      </c>
      <c r="AS105" s="102">
        <f t="shared" si="108"/>
        <v>0</v>
      </c>
      <c r="AT105" s="102">
        <f t="shared" si="108"/>
        <v>0</v>
      </c>
      <c r="AU105" s="102">
        <f t="shared" si="108"/>
        <v>0</v>
      </c>
      <c r="AV105" s="102"/>
      <c r="AW105" s="102"/>
      <c r="AX105" s="102"/>
      <c r="AY105" s="102"/>
      <c r="AZ105" s="102"/>
      <c r="BA105" s="102"/>
      <c r="BB105" s="102"/>
      <c r="BC105" s="102"/>
      <c r="BD105" s="102"/>
      <c r="BE105" s="102"/>
      <c r="BF105" s="102"/>
      <c r="BG105" s="102"/>
      <c r="BH105" s="102"/>
      <c r="BI105" s="102"/>
    </row>
    <row r="106" spans="1:61" s="17" customFormat="1" hidden="1" outlineLevel="1" x14ac:dyDescent="0.25">
      <c r="A106" s="16" t="str">
        <f t="shared" si="102"/>
        <v>Balance mid year</v>
      </c>
      <c r="B106" s="101">
        <f t="shared" si="103"/>
        <v>0</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f t="shared" ref="AH106:AV106" si="109">+AG107-AH100</f>
        <v>0</v>
      </c>
      <c r="AI106" s="102">
        <f t="shared" si="109"/>
        <v>0</v>
      </c>
      <c r="AJ106" s="102">
        <f t="shared" si="109"/>
        <v>0</v>
      </c>
      <c r="AK106" s="102">
        <f t="shared" si="109"/>
        <v>0</v>
      </c>
      <c r="AL106" s="102">
        <f t="shared" si="109"/>
        <v>0</v>
      </c>
      <c r="AM106" s="102">
        <f t="shared" si="109"/>
        <v>0</v>
      </c>
      <c r="AN106" s="102">
        <f t="shared" si="109"/>
        <v>0</v>
      </c>
      <c r="AO106" s="102">
        <f t="shared" si="109"/>
        <v>0</v>
      </c>
      <c r="AP106" s="102">
        <f t="shared" si="109"/>
        <v>0</v>
      </c>
      <c r="AQ106" s="102">
        <f t="shared" si="109"/>
        <v>0</v>
      </c>
      <c r="AR106" s="102">
        <f t="shared" si="109"/>
        <v>0</v>
      </c>
      <c r="AS106" s="102">
        <f t="shared" si="109"/>
        <v>0</v>
      </c>
      <c r="AT106" s="102">
        <f t="shared" si="109"/>
        <v>0</v>
      </c>
      <c r="AU106" s="102">
        <f t="shared" si="109"/>
        <v>0</v>
      </c>
      <c r="AV106" s="102">
        <f t="shared" si="109"/>
        <v>0</v>
      </c>
      <c r="AW106" s="102"/>
      <c r="AX106" s="102"/>
      <c r="AY106" s="102"/>
      <c r="AZ106" s="102"/>
      <c r="BA106" s="102"/>
      <c r="BB106" s="102"/>
      <c r="BC106" s="102"/>
      <c r="BD106" s="102"/>
      <c r="BE106" s="102"/>
      <c r="BF106" s="102"/>
      <c r="BG106" s="102"/>
      <c r="BH106" s="102"/>
      <c r="BI106" s="102"/>
    </row>
    <row r="107" spans="1:61" s="17" customFormat="1" hidden="1" outlineLevel="1" x14ac:dyDescent="0.25">
      <c r="A107" s="16" t="str">
        <f t="shared" si="102"/>
        <v>Balance</v>
      </c>
      <c r="B107" s="101">
        <f t="shared" si="103"/>
        <v>0</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f>AG99-AG100</f>
        <v>0</v>
      </c>
      <c r="AH107" s="102">
        <f t="shared" ref="AH107:AV107" si="110">+AH106-AH101</f>
        <v>0</v>
      </c>
      <c r="AI107" s="102">
        <f t="shared" si="110"/>
        <v>0</v>
      </c>
      <c r="AJ107" s="102">
        <f t="shared" si="110"/>
        <v>0</v>
      </c>
      <c r="AK107" s="102">
        <f t="shared" si="110"/>
        <v>0</v>
      </c>
      <c r="AL107" s="102">
        <f t="shared" si="110"/>
        <v>0</v>
      </c>
      <c r="AM107" s="102">
        <f t="shared" si="110"/>
        <v>0</v>
      </c>
      <c r="AN107" s="102">
        <f t="shared" si="110"/>
        <v>0</v>
      </c>
      <c r="AO107" s="102">
        <f t="shared" si="110"/>
        <v>0</v>
      </c>
      <c r="AP107" s="102">
        <f t="shared" si="110"/>
        <v>0</v>
      </c>
      <c r="AQ107" s="102">
        <f t="shared" si="110"/>
        <v>0</v>
      </c>
      <c r="AR107" s="102">
        <f t="shared" si="110"/>
        <v>0</v>
      </c>
      <c r="AS107" s="102">
        <f t="shared" si="110"/>
        <v>0</v>
      </c>
      <c r="AT107" s="102">
        <f t="shared" si="110"/>
        <v>0</v>
      </c>
      <c r="AU107" s="102">
        <f t="shared" si="110"/>
        <v>0</v>
      </c>
      <c r="AV107" s="102">
        <f t="shared" si="110"/>
        <v>0</v>
      </c>
      <c r="AW107" s="102"/>
      <c r="AX107" s="102"/>
      <c r="AY107" s="102"/>
      <c r="AZ107" s="102"/>
      <c r="BA107" s="102"/>
      <c r="BB107" s="102"/>
      <c r="BC107" s="102"/>
      <c r="BD107" s="102"/>
      <c r="BE107" s="102"/>
      <c r="BF107" s="102"/>
      <c r="BG107" s="102"/>
      <c r="BH107" s="102"/>
      <c r="BI107" s="102"/>
    </row>
    <row r="108" spans="1:61" s="17" customFormat="1" hidden="1" outlineLevel="1" x14ac:dyDescent="0.25">
      <c r="A108" s="16"/>
      <c r="B108" s="101">
        <f t="shared" si="103"/>
        <v>0</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row>
    <row r="109" spans="1:61" hidden="1" outlineLevel="1" x14ac:dyDescent="0.25">
      <c r="A109" s="20" t="str">
        <f t="shared" ref="A109:A117" si="111">A99</f>
        <v>Debt Forecasted</v>
      </c>
      <c r="B109" s="101">
        <f t="shared" si="103"/>
        <v>0</v>
      </c>
      <c r="C109" s="102">
        <v>0</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f>AH8</f>
        <v>0</v>
      </c>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row>
    <row r="110" spans="1:61" s="17" customFormat="1" hidden="1" outlineLevel="1" x14ac:dyDescent="0.25">
      <c r="A110" s="16" t="str">
        <f t="shared" si="111"/>
        <v>Principal</v>
      </c>
      <c r="B110" s="101">
        <f t="shared" si="103"/>
        <v>0</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f t="shared" ref="AH110:AW111" si="112">+AH114-AH112</f>
        <v>0</v>
      </c>
      <c r="AI110" s="102">
        <f t="shared" si="112"/>
        <v>0</v>
      </c>
      <c r="AJ110" s="102">
        <f t="shared" si="112"/>
        <v>0</v>
      </c>
      <c r="AK110" s="102">
        <f t="shared" si="112"/>
        <v>0</v>
      </c>
      <c r="AL110" s="102">
        <f t="shared" si="112"/>
        <v>0</v>
      </c>
      <c r="AM110" s="102">
        <f t="shared" si="112"/>
        <v>0</v>
      </c>
      <c r="AN110" s="102">
        <f t="shared" si="112"/>
        <v>0</v>
      </c>
      <c r="AO110" s="102">
        <f t="shared" si="112"/>
        <v>0</v>
      </c>
      <c r="AP110" s="102">
        <f t="shared" si="112"/>
        <v>0</v>
      </c>
      <c r="AQ110" s="102">
        <f t="shared" si="112"/>
        <v>0</v>
      </c>
      <c r="AR110" s="102">
        <f t="shared" si="112"/>
        <v>0</v>
      </c>
      <c r="AS110" s="102">
        <f t="shared" si="112"/>
        <v>0</v>
      </c>
      <c r="AT110" s="102">
        <f t="shared" si="112"/>
        <v>0</v>
      </c>
      <c r="AU110" s="102">
        <f t="shared" si="112"/>
        <v>0</v>
      </c>
      <c r="AV110" s="102">
        <f t="shared" si="112"/>
        <v>0</v>
      </c>
      <c r="AW110" s="102">
        <f t="shared" si="112"/>
        <v>0</v>
      </c>
      <c r="AX110" s="102"/>
      <c r="AY110" s="102"/>
      <c r="AZ110" s="102"/>
      <c r="BA110" s="102"/>
      <c r="BB110" s="102"/>
      <c r="BC110" s="102"/>
      <c r="BD110" s="102"/>
      <c r="BE110" s="102"/>
      <c r="BF110" s="102"/>
      <c r="BG110" s="102"/>
      <c r="BH110" s="102"/>
      <c r="BI110" s="102"/>
    </row>
    <row r="111" spans="1:61" s="17" customFormat="1" hidden="1" outlineLevel="1" x14ac:dyDescent="0.25">
      <c r="A111" s="16" t="str">
        <f t="shared" si="111"/>
        <v>Principal</v>
      </c>
      <c r="B111" s="101">
        <f t="shared" si="103"/>
        <v>0</v>
      </c>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f t="shared" si="112"/>
        <v>0</v>
      </c>
      <c r="AJ111" s="102">
        <f t="shared" si="112"/>
        <v>0</v>
      </c>
      <c r="AK111" s="102">
        <f t="shared" si="112"/>
        <v>0</v>
      </c>
      <c r="AL111" s="102">
        <f t="shared" si="112"/>
        <v>0</v>
      </c>
      <c r="AM111" s="102">
        <f t="shared" si="112"/>
        <v>0</v>
      </c>
      <c r="AN111" s="102">
        <f t="shared" si="112"/>
        <v>0</v>
      </c>
      <c r="AO111" s="102">
        <f t="shared" si="112"/>
        <v>0</v>
      </c>
      <c r="AP111" s="102">
        <f t="shared" si="112"/>
        <v>0</v>
      </c>
      <c r="AQ111" s="102">
        <f t="shared" si="112"/>
        <v>0</v>
      </c>
      <c r="AR111" s="102">
        <f t="shared" si="112"/>
        <v>0</v>
      </c>
      <c r="AS111" s="102">
        <f t="shared" si="112"/>
        <v>0</v>
      </c>
      <c r="AT111" s="102">
        <f t="shared" si="112"/>
        <v>0</v>
      </c>
      <c r="AU111" s="102">
        <f t="shared" si="112"/>
        <v>0</v>
      </c>
      <c r="AV111" s="102">
        <f t="shared" si="112"/>
        <v>0</v>
      </c>
      <c r="AW111" s="102">
        <f t="shared" si="112"/>
        <v>0</v>
      </c>
      <c r="AX111" s="102"/>
      <c r="AY111" s="102"/>
      <c r="AZ111" s="102"/>
      <c r="BA111" s="102"/>
      <c r="BB111" s="102"/>
      <c r="BC111" s="102"/>
      <c r="BD111" s="102"/>
      <c r="BE111" s="102"/>
      <c r="BF111" s="102"/>
      <c r="BG111" s="102"/>
      <c r="BH111" s="102"/>
      <c r="BI111" s="102"/>
    </row>
    <row r="112" spans="1:61" s="17" customFormat="1" hidden="1" outlineLevel="1" x14ac:dyDescent="0.25">
      <c r="A112" s="16" t="str">
        <f t="shared" si="111"/>
        <v>Interest</v>
      </c>
      <c r="B112" s="101">
        <f t="shared" si="103"/>
        <v>0</v>
      </c>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f>+AH109*AH9/2</f>
        <v>0</v>
      </c>
      <c r="AI112" s="102">
        <f>+AH117*$AH$9/2</f>
        <v>0</v>
      </c>
      <c r="AJ112" s="102">
        <f t="shared" ref="AJ112:AW112" si="113">+AI117*$AH$9/2</f>
        <v>0</v>
      </c>
      <c r="AK112" s="102">
        <f t="shared" si="113"/>
        <v>0</v>
      </c>
      <c r="AL112" s="102">
        <f t="shared" si="113"/>
        <v>0</v>
      </c>
      <c r="AM112" s="102">
        <f t="shared" si="113"/>
        <v>0</v>
      </c>
      <c r="AN112" s="102">
        <f t="shared" si="113"/>
        <v>0</v>
      </c>
      <c r="AO112" s="102">
        <f t="shared" si="113"/>
        <v>0</v>
      </c>
      <c r="AP112" s="102">
        <f t="shared" si="113"/>
        <v>0</v>
      </c>
      <c r="AQ112" s="102">
        <f t="shared" si="113"/>
        <v>0</v>
      </c>
      <c r="AR112" s="102">
        <f t="shared" si="113"/>
        <v>0</v>
      </c>
      <c r="AS112" s="102">
        <f t="shared" si="113"/>
        <v>0</v>
      </c>
      <c r="AT112" s="102">
        <f t="shared" si="113"/>
        <v>0</v>
      </c>
      <c r="AU112" s="102">
        <f t="shared" si="113"/>
        <v>0</v>
      </c>
      <c r="AV112" s="102">
        <f t="shared" si="113"/>
        <v>0</v>
      </c>
      <c r="AW112" s="102">
        <f t="shared" si="113"/>
        <v>0</v>
      </c>
      <c r="AX112" s="102"/>
      <c r="AY112" s="102"/>
      <c r="AZ112" s="102"/>
      <c r="BA112" s="102"/>
      <c r="BB112" s="102"/>
      <c r="BC112" s="102"/>
      <c r="BD112" s="102"/>
      <c r="BE112" s="102"/>
      <c r="BF112" s="102"/>
      <c r="BG112" s="102"/>
      <c r="BH112" s="102"/>
      <c r="BI112" s="102"/>
    </row>
    <row r="113" spans="1:61" s="17" customFormat="1" hidden="1" outlineLevel="1" x14ac:dyDescent="0.25">
      <c r="A113" s="16" t="str">
        <f t="shared" si="111"/>
        <v>Interest</v>
      </c>
      <c r="B113" s="101">
        <f t="shared" si="103"/>
        <v>0</v>
      </c>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f>+AI116*$AH$9/2</f>
        <v>0</v>
      </c>
      <c r="AJ113" s="102">
        <f t="shared" ref="AJ113:AW113" si="114">+AJ116*$AH$9/2</f>
        <v>0</v>
      </c>
      <c r="AK113" s="102">
        <f t="shared" si="114"/>
        <v>0</v>
      </c>
      <c r="AL113" s="102">
        <f t="shared" si="114"/>
        <v>0</v>
      </c>
      <c r="AM113" s="102">
        <f t="shared" si="114"/>
        <v>0</v>
      </c>
      <c r="AN113" s="102">
        <f t="shared" si="114"/>
        <v>0</v>
      </c>
      <c r="AO113" s="102">
        <f t="shared" si="114"/>
        <v>0</v>
      </c>
      <c r="AP113" s="102">
        <f t="shared" si="114"/>
        <v>0</v>
      </c>
      <c r="AQ113" s="102">
        <f t="shared" si="114"/>
        <v>0</v>
      </c>
      <c r="AR113" s="102">
        <f t="shared" si="114"/>
        <v>0</v>
      </c>
      <c r="AS113" s="102">
        <f t="shared" si="114"/>
        <v>0</v>
      </c>
      <c r="AT113" s="102">
        <f t="shared" si="114"/>
        <v>0</v>
      </c>
      <c r="AU113" s="102">
        <f t="shared" si="114"/>
        <v>0</v>
      </c>
      <c r="AV113" s="102">
        <f t="shared" si="114"/>
        <v>0</v>
      </c>
      <c r="AW113" s="102">
        <f t="shared" si="114"/>
        <v>0</v>
      </c>
      <c r="AX113" s="102"/>
      <c r="AY113" s="102"/>
      <c r="AZ113" s="102"/>
      <c r="BA113" s="102"/>
      <c r="BB113" s="102"/>
      <c r="BC113" s="102"/>
      <c r="BD113" s="102"/>
      <c r="BE113" s="102"/>
      <c r="BF113" s="102"/>
      <c r="BG113" s="102"/>
      <c r="BH113" s="102"/>
      <c r="BI113" s="102"/>
    </row>
    <row r="114" spans="1:61" s="17" customFormat="1" hidden="1" outlineLevel="1" x14ac:dyDescent="0.25">
      <c r="A114" s="16" t="str">
        <f t="shared" si="111"/>
        <v xml:space="preserve">Debt Servicing </v>
      </c>
      <c r="B114" s="101">
        <f t="shared" si="103"/>
        <v>0</v>
      </c>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f>-PMT(AH9/2,AH10*2,AH8)</f>
        <v>0</v>
      </c>
      <c r="AI114" s="102">
        <f t="shared" ref="AI114:AW114" si="115">+AH114</f>
        <v>0</v>
      </c>
      <c r="AJ114" s="102">
        <f t="shared" si="115"/>
        <v>0</v>
      </c>
      <c r="AK114" s="102">
        <f t="shared" si="115"/>
        <v>0</v>
      </c>
      <c r="AL114" s="102">
        <f t="shared" si="115"/>
        <v>0</v>
      </c>
      <c r="AM114" s="102">
        <f t="shared" si="115"/>
        <v>0</v>
      </c>
      <c r="AN114" s="102">
        <f t="shared" si="115"/>
        <v>0</v>
      </c>
      <c r="AO114" s="102">
        <f t="shared" si="115"/>
        <v>0</v>
      </c>
      <c r="AP114" s="102">
        <f t="shared" si="115"/>
        <v>0</v>
      </c>
      <c r="AQ114" s="102">
        <f t="shared" si="115"/>
        <v>0</v>
      </c>
      <c r="AR114" s="102">
        <f t="shared" si="115"/>
        <v>0</v>
      </c>
      <c r="AS114" s="102">
        <f t="shared" si="115"/>
        <v>0</v>
      </c>
      <c r="AT114" s="102">
        <f t="shared" si="115"/>
        <v>0</v>
      </c>
      <c r="AU114" s="102">
        <f t="shared" si="115"/>
        <v>0</v>
      </c>
      <c r="AV114" s="102">
        <f t="shared" si="115"/>
        <v>0</v>
      </c>
      <c r="AW114" s="102">
        <f t="shared" si="115"/>
        <v>0</v>
      </c>
      <c r="AX114" s="102"/>
      <c r="AY114" s="102"/>
      <c r="AZ114" s="102"/>
      <c r="BA114" s="102"/>
      <c r="BB114" s="102"/>
      <c r="BC114" s="102"/>
      <c r="BD114" s="102"/>
      <c r="BE114" s="102"/>
      <c r="BF114" s="102"/>
      <c r="BG114" s="102"/>
      <c r="BH114" s="102"/>
      <c r="BI114" s="102"/>
    </row>
    <row r="115" spans="1:61" s="17" customFormat="1" hidden="1" outlineLevel="1" x14ac:dyDescent="0.25">
      <c r="A115" s="16" t="str">
        <f t="shared" si="111"/>
        <v xml:space="preserve">Debt Servicing </v>
      </c>
      <c r="B115" s="101">
        <f t="shared" si="103"/>
        <v>0</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f t="shared" ref="AI115:AV115" si="116">+AI114</f>
        <v>0</v>
      </c>
      <c r="AJ115" s="102">
        <f t="shared" si="116"/>
        <v>0</v>
      </c>
      <c r="AK115" s="102">
        <f t="shared" si="116"/>
        <v>0</v>
      </c>
      <c r="AL115" s="102">
        <f t="shared" si="116"/>
        <v>0</v>
      </c>
      <c r="AM115" s="102">
        <f t="shared" si="116"/>
        <v>0</v>
      </c>
      <c r="AN115" s="102">
        <f t="shared" si="116"/>
        <v>0</v>
      </c>
      <c r="AO115" s="102">
        <f t="shared" si="116"/>
        <v>0</v>
      </c>
      <c r="AP115" s="102">
        <f t="shared" si="116"/>
        <v>0</v>
      </c>
      <c r="AQ115" s="102">
        <f t="shared" si="116"/>
        <v>0</v>
      </c>
      <c r="AR115" s="102">
        <f t="shared" si="116"/>
        <v>0</v>
      </c>
      <c r="AS115" s="102">
        <f t="shared" si="116"/>
        <v>0</v>
      </c>
      <c r="AT115" s="102">
        <f t="shared" si="116"/>
        <v>0</v>
      </c>
      <c r="AU115" s="102">
        <f t="shared" si="116"/>
        <v>0</v>
      </c>
      <c r="AV115" s="102">
        <f t="shared" si="116"/>
        <v>0</v>
      </c>
      <c r="AW115" s="102"/>
      <c r="AX115" s="102"/>
      <c r="AY115" s="102"/>
      <c r="AZ115" s="102"/>
      <c r="BA115" s="102"/>
      <c r="BB115" s="102"/>
      <c r="BC115" s="102"/>
      <c r="BD115" s="102"/>
      <c r="BE115" s="102"/>
      <c r="BF115" s="102"/>
      <c r="BG115" s="102"/>
      <c r="BH115" s="102"/>
      <c r="BI115" s="102"/>
    </row>
    <row r="116" spans="1:61" s="17" customFormat="1" hidden="1" outlineLevel="1" x14ac:dyDescent="0.25">
      <c r="A116" s="16" t="str">
        <f t="shared" si="111"/>
        <v>Balance mid year</v>
      </c>
      <c r="B116" s="101">
        <f t="shared" si="103"/>
        <v>0</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f t="shared" ref="AI116:AW116" si="117">+AH117-AI110</f>
        <v>0</v>
      </c>
      <c r="AJ116" s="102">
        <f t="shared" si="117"/>
        <v>0</v>
      </c>
      <c r="AK116" s="102">
        <f t="shared" si="117"/>
        <v>0</v>
      </c>
      <c r="AL116" s="102">
        <f t="shared" si="117"/>
        <v>0</v>
      </c>
      <c r="AM116" s="102">
        <f t="shared" si="117"/>
        <v>0</v>
      </c>
      <c r="AN116" s="102">
        <f t="shared" si="117"/>
        <v>0</v>
      </c>
      <c r="AO116" s="102">
        <f t="shared" si="117"/>
        <v>0</v>
      </c>
      <c r="AP116" s="102">
        <f t="shared" si="117"/>
        <v>0</v>
      </c>
      <c r="AQ116" s="102">
        <f t="shared" si="117"/>
        <v>0</v>
      </c>
      <c r="AR116" s="102">
        <f t="shared" si="117"/>
        <v>0</v>
      </c>
      <c r="AS116" s="102">
        <f t="shared" si="117"/>
        <v>0</v>
      </c>
      <c r="AT116" s="102">
        <f t="shared" si="117"/>
        <v>0</v>
      </c>
      <c r="AU116" s="102">
        <f t="shared" si="117"/>
        <v>0</v>
      </c>
      <c r="AV116" s="102">
        <f t="shared" si="117"/>
        <v>0</v>
      </c>
      <c r="AW116" s="102">
        <f t="shared" si="117"/>
        <v>0</v>
      </c>
      <c r="AX116" s="102"/>
      <c r="AY116" s="102"/>
      <c r="AZ116" s="102"/>
      <c r="BA116" s="102"/>
      <c r="BB116" s="102"/>
      <c r="BC116" s="102"/>
      <c r="BD116" s="102"/>
      <c r="BE116" s="102"/>
      <c r="BF116" s="102"/>
      <c r="BG116" s="102"/>
      <c r="BH116" s="102"/>
      <c r="BI116" s="102"/>
    </row>
    <row r="117" spans="1:61" s="17" customFormat="1" hidden="1" outlineLevel="1" x14ac:dyDescent="0.25">
      <c r="A117" s="16" t="str">
        <f t="shared" si="111"/>
        <v>Balance</v>
      </c>
      <c r="B117" s="101">
        <f t="shared" si="103"/>
        <v>0</v>
      </c>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f>AH109-AH110</f>
        <v>0</v>
      </c>
      <c r="AI117" s="102">
        <f t="shared" ref="AI117:AW117" si="118">+AI116-AI111</f>
        <v>0</v>
      </c>
      <c r="AJ117" s="102">
        <f t="shared" si="118"/>
        <v>0</v>
      </c>
      <c r="AK117" s="102">
        <f t="shared" si="118"/>
        <v>0</v>
      </c>
      <c r="AL117" s="102">
        <f t="shared" si="118"/>
        <v>0</v>
      </c>
      <c r="AM117" s="102">
        <f t="shared" si="118"/>
        <v>0</v>
      </c>
      <c r="AN117" s="102">
        <f t="shared" si="118"/>
        <v>0</v>
      </c>
      <c r="AO117" s="102">
        <f t="shared" si="118"/>
        <v>0</v>
      </c>
      <c r="AP117" s="102">
        <f t="shared" si="118"/>
        <v>0</v>
      </c>
      <c r="AQ117" s="102">
        <f t="shared" si="118"/>
        <v>0</v>
      </c>
      <c r="AR117" s="102">
        <f t="shared" si="118"/>
        <v>0</v>
      </c>
      <c r="AS117" s="102">
        <f t="shared" si="118"/>
        <v>0</v>
      </c>
      <c r="AT117" s="102">
        <f t="shared" si="118"/>
        <v>0</v>
      </c>
      <c r="AU117" s="102">
        <f t="shared" si="118"/>
        <v>0</v>
      </c>
      <c r="AV117" s="102">
        <f t="shared" si="118"/>
        <v>0</v>
      </c>
      <c r="AW117" s="102">
        <f t="shared" si="118"/>
        <v>0</v>
      </c>
      <c r="AX117" s="102"/>
      <c r="AY117" s="102"/>
      <c r="AZ117" s="102"/>
      <c r="BA117" s="102"/>
      <c r="BB117" s="102"/>
      <c r="BC117" s="102"/>
      <c r="BD117" s="102"/>
      <c r="BE117" s="102"/>
      <c r="BF117" s="102"/>
      <c r="BG117" s="102"/>
      <c r="BH117" s="102"/>
      <c r="BI117" s="102"/>
    </row>
    <row r="118" spans="1:61" s="17" customFormat="1" hidden="1" outlineLevel="1" x14ac:dyDescent="0.25">
      <c r="A118" s="16"/>
      <c r="B118" s="101"/>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row>
    <row r="119" spans="1:61" hidden="1" outlineLevel="1" x14ac:dyDescent="0.25">
      <c r="A119" s="20" t="s">
        <v>226</v>
      </c>
      <c r="B119" s="101">
        <f t="shared" ref="B119:B128" si="119">SUM(C119:BB119)</f>
        <v>0</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f>AI8</f>
        <v>0</v>
      </c>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row>
    <row r="120" spans="1:61" s="17" customFormat="1" hidden="1" outlineLevel="1" x14ac:dyDescent="0.25">
      <c r="A120" s="16" t="s">
        <v>163</v>
      </c>
      <c r="B120" s="101">
        <f t="shared" si="119"/>
        <v>0</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f t="shared" ref="AI120:AX121" si="120">+AI124-AI122</f>
        <v>0</v>
      </c>
      <c r="AJ120" s="102">
        <f t="shared" si="120"/>
        <v>0</v>
      </c>
      <c r="AK120" s="102">
        <f t="shared" si="120"/>
        <v>0</v>
      </c>
      <c r="AL120" s="102">
        <f t="shared" si="120"/>
        <v>0</v>
      </c>
      <c r="AM120" s="102">
        <f t="shared" si="120"/>
        <v>0</v>
      </c>
      <c r="AN120" s="102">
        <f t="shared" si="120"/>
        <v>0</v>
      </c>
      <c r="AO120" s="102">
        <f t="shared" si="120"/>
        <v>0</v>
      </c>
      <c r="AP120" s="102">
        <f t="shared" si="120"/>
        <v>0</v>
      </c>
      <c r="AQ120" s="102">
        <f t="shared" si="120"/>
        <v>0</v>
      </c>
      <c r="AR120" s="102">
        <f t="shared" si="120"/>
        <v>0</v>
      </c>
      <c r="AS120" s="102">
        <f t="shared" si="120"/>
        <v>0</v>
      </c>
      <c r="AT120" s="102">
        <f t="shared" si="120"/>
        <v>0</v>
      </c>
      <c r="AU120" s="102">
        <f t="shared" si="120"/>
        <v>0</v>
      </c>
      <c r="AV120" s="102">
        <f t="shared" si="120"/>
        <v>0</v>
      </c>
      <c r="AW120" s="102">
        <f t="shared" si="120"/>
        <v>0</v>
      </c>
      <c r="AX120" s="102">
        <f t="shared" si="120"/>
        <v>0</v>
      </c>
      <c r="AY120" s="102"/>
      <c r="AZ120" s="102"/>
      <c r="BA120" s="102"/>
      <c r="BB120" s="102"/>
      <c r="BC120" s="102"/>
      <c r="BD120" s="102"/>
      <c r="BE120" s="102"/>
      <c r="BF120" s="102"/>
      <c r="BG120" s="102"/>
      <c r="BH120" s="102"/>
      <c r="BI120" s="102"/>
    </row>
    <row r="121" spans="1:61" s="17" customFormat="1" hidden="1" outlineLevel="1" x14ac:dyDescent="0.25">
      <c r="A121" s="16" t="s">
        <v>163</v>
      </c>
      <c r="B121" s="101">
        <f t="shared" si="119"/>
        <v>0</v>
      </c>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f t="shared" si="120"/>
        <v>0</v>
      </c>
      <c r="AK121" s="102">
        <f t="shared" si="120"/>
        <v>0</v>
      </c>
      <c r="AL121" s="102">
        <f t="shared" si="120"/>
        <v>0</v>
      </c>
      <c r="AM121" s="102">
        <f t="shared" si="120"/>
        <v>0</v>
      </c>
      <c r="AN121" s="102">
        <f t="shared" si="120"/>
        <v>0</v>
      </c>
      <c r="AO121" s="102">
        <f t="shared" si="120"/>
        <v>0</v>
      </c>
      <c r="AP121" s="102">
        <f t="shared" si="120"/>
        <v>0</v>
      </c>
      <c r="AQ121" s="102">
        <f t="shared" si="120"/>
        <v>0</v>
      </c>
      <c r="AR121" s="102">
        <f t="shared" si="120"/>
        <v>0</v>
      </c>
      <c r="AS121" s="102">
        <f t="shared" si="120"/>
        <v>0</v>
      </c>
      <c r="AT121" s="102">
        <f t="shared" si="120"/>
        <v>0</v>
      </c>
      <c r="AU121" s="102">
        <f t="shared" si="120"/>
        <v>0</v>
      </c>
      <c r="AV121" s="102">
        <f t="shared" si="120"/>
        <v>0</v>
      </c>
      <c r="AW121" s="102">
        <f t="shared" si="120"/>
        <v>0</v>
      </c>
      <c r="AX121" s="102">
        <f t="shared" si="120"/>
        <v>0</v>
      </c>
      <c r="AY121" s="102"/>
      <c r="AZ121" s="102"/>
      <c r="BA121" s="102"/>
      <c r="BB121" s="102"/>
      <c r="BC121" s="102"/>
      <c r="BD121" s="102"/>
      <c r="BE121" s="102"/>
      <c r="BF121" s="102"/>
      <c r="BG121" s="102"/>
      <c r="BH121" s="102"/>
      <c r="BI121" s="102"/>
    </row>
    <row r="122" spans="1:61" s="17" customFormat="1" hidden="1" outlineLevel="1" x14ac:dyDescent="0.25">
      <c r="A122" s="16" t="s">
        <v>164</v>
      </c>
      <c r="B122" s="101">
        <f t="shared" si="119"/>
        <v>0</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f>+AI119*AI9/2</f>
        <v>0</v>
      </c>
      <c r="AJ122" s="102">
        <f>+AI127*$AI$9/2</f>
        <v>0</v>
      </c>
      <c r="AK122" s="102">
        <f t="shared" ref="AK122:AX122" si="121">+AJ127*$AI$9/2</f>
        <v>0</v>
      </c>
      <c r="AL122" s="102">
        <f t="shared" si="121"/>
        <v>0</v>
      </c>
      <c r="AM122" s="102">
        <f t="shared" si="121"/>
        <v>0</v>
      </c>
      <c r="AN122" s="102">
        <f t="shared" si="121"/>
        <v>0</v>
      </c>
      <c r="AO122" s="102">
        <f t="shared" si="121"/>
        <v>0</v>
      </c>
      <c r="AP122" s="102">
        <f t="shared" si="121"/>
        <v>0</v>
      </c>
      <c r="AQ122" s="102">
        <f t="shared" si="121"/>
        <v>0</v>
      </c>
      <c r="AR122" s="102">
        <f t="shared" si="121"/>
        <v>0</v>
      </c>
      <c r="AS122" s="102">
        <f t="shared" si="121"/>
        <v>0</v>
      </c>
      <c r="AT122" s="102">
        <f t="shared" si="121"/>
        <v>0</v>
      </c>
      <c r="AU122" s="102">
        <f t="shared" si="121"/>
        <v>0</v>
      </c>
      <c r="AV122" s="102">
        <f t="shared" si="121"/>
        <v>0</v>
      </c>
      <c r="AW122" s="102">
        <f t="shared" si="121"/>
        <v>0</v>
      </c>
      <c r="AX122" s="102">
        <f t="shared" si="121"/>
        <v>0</v>
      </c>
      <c r="AY122" s="102"/>
      <c r="AZ122" s="102"/>
      <c r="BA122" s="102"/>
      <c r="BB122" s="102"/>
      <c r="BC122" s="102"/>
      <c r="BD122" s="102"/>
      <c r="BE122" s="102"/>
      <c r="BF122" s="102"/>
      <c r="BG122" s="102"/>
      <c r="BH122" s="102"/>
      <c r="BI122" s="102"/>
    </row>
    <row r="123" spans="1:61" s="17" customFormat="1" hidden="1" outlineLevel="1" x14ac:dyDescent="0.25">
      <c r="A123" s="16" t="s">
        <v>164</v>
      </c>
      <c r="B123" s="101">
        <f t="shared" si="119"/>
        <v>0</v>
      </c>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f>+AJ126*$AI$9/2</f>
        <v>0</v>
      </c>
      <c r="AK123" s="102">
        <f t="shared" ref="AK123:AX123" si="122">+AK126*$AI$9/2</f>
        <v>0</v>
      </c>
      <c r="AL123" s="102">
        <f t="shared" si="122"/>
        <v>0</v>
      </c>
      <c r="AM123" s="102">
        <f t="shared" si="122"/>
        <v>0</v>
      </c>
      <c r="AN123" s="102">
        <f t="shared" si="122"/>
        <v>0</v>
      </c>
      <c r="AO123" s="102">
        <f t="shared" si="122"/>
        <v>0</v>
      </c>
      <c r="AP123" s="102">
        <f t="shared" si="122"/>
        <v>0</v>
      </c>
      <c r="AQ123" s="102">
        <f t="shared" si="122"/>
        <v>0</v>
      </c>
      <c r="AR123" s="102">
        <f t="shared" si="122"/>
        <v>0</v>
      </c>
      <c r="AS123" s="102">
        <f t="shared" si="122"/>
        <v>0</v>
      </c>
      <c r="AT123" s="102">
        <f t="shared" si="122"/>
        <v>0</v>
      </c>
      <c r="AU123" s="102">
        <f t="shared" si="122"/>
        <v>0</v>
      </c>
      <c r="AV123" s="102">
        <f t="shared" si="122"/>
        <v>0</v>
      </c>
      <c r="AW123" s="102">
        <f t="shared" si="122"/>
        <v>0</v>
      </c>
      <c r="AX123" s="102">
        <f t="shared" si="122"/>
        <v>0</v>
      </c>
      <c r="AY123" s="102"/>
      <c r="AZ123" s="102"/>
      <c r="BA123" s="102"/>
      <c r="BB123" s="102"/>
      <c r="BC123" s="102"/>
      <c r="BD123" s="102"/>
      <c r="BE123" s="102"/>
      <c r="BF123" s="102"/>
      <c r="BG123" s="102"/>
      <c r="BH123" s="102"/>
      <c r="BI123" s="102"/>
    </row>
    <row r="124" spans="1:61" s="17" customFormat="1" hidden="1" outlineLevel="1" x14ac:dyDescent="0.25">
      <c r="A124" s="16" t="s">
        <v>220</v>
      </c>
      <c r="B124" s="101">
        <f t="shared" si="119"/>
        <v>0</v>
      </c>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f>-PMT(AI9/2,AI10*2,AI8)</f>
        <v>0</v>
      </c>
      <c r="AJ124" s="102">
        <f t="shared" ref="AJ124:AX124" si="123">+AI124</f>
        <v>0</v>
      </c>
      <c r="AK124" s="102">
        <f t="shared" si="123"/>
        <v>0</v>
      </c>
      <c r="AL124" s="102">
        <f t="shared" si="123"/>
        <v>0</v>
      </c>
      <c r="AM124" s="102">
        <f t="shared" si="123"/>
        <v>0</v>
      </c>
      <c r="AN124" s="102">
        <f t="shared" si="123"/>
        <v>0</v>
      </c>
      <c r="AO124" s="102">
        <f t="shared" si="123"/>
        <v>0</v>
      </c>
      <c r="AP124" s="102">
        <f t="shared" si="123"/>
        <v>0</v>
      </c>
      <c r="AQ124" s="102">
        <f t="shared" si="123"/>
        <v>0</v>
      </c>
      <c r="AR124" s="102">
        <f t="shared" si="123"/>
        <v>0</v>
      </c>
      <c r="AS124" s="102">
        <f t="shared" si="123"/>
        <v>0</v>
      </c>
      <c r="AT124" s="102">
        <f t="shared" si="123"/>
        <v>0</v>
      </c>
      <c r="AU124" s="102">
        <f t="shared" si="123"/>
        <v>0</v>
      </c>
      <c r="AV124" s="102">
        <f t="shared" si="123"/>
        <v>0</v>
      </c>
      <c r="AW124" s="102">
        <f t="shared" si="123"/>
        <v>0</v>
      </c>
      <c r="AX124" s="102">
        <f t="shared" si="123"/>
        <v>0</v>
      </c>
      <c r="AY124" s="102"/>
      <c r="AZ124" s="102"/>
      <c r="BA124" s="102"/>
      <c r="BB124" s="102"/>
      <c r="BC124" s="102"/>
      <c r="BD124" s="102"/>
      <c r="BE124" s="102"/>
      <c r="BF124" s="102"/>
      <c r="BG124" s="102"/>
      <c r="BH124" s="102"/>
      <c r="BI124" s="102"/>
    </row>
    <row r="125" spans="1:61" s="17" customFormat="1" hidden="1" outlineLevel="1" x14ac:dyDescent="0.25">
      <c r="A125" s="16" t="s">
        <v>220</v>
      </c>
      <c r="B125" s="101">
        <f t="shared" si="119"/>
        <v>0</v>
      </c>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f t="shared" ref="AJ125:AW125" si="124">+AJ124</f>
        <v>0</v>
      </c>
      <c r="AK125" s="102">
        <f t="shared" si="124"/>
        <v>0</v>
      </c>
      <c r="AL125" s="102">
        <f t="shared" si="124"/>
        <v>0</v>
      </c>
      <c r="AM125" s="102">
        <f t="shared" si="124"/>
        <v>0</v>
      </c>
      <c r="AN125" s="102">
        <f t="shared" si="124"/>
        <v>0</v>
      </c>
      <c r="AO125" s="102">
        <f t="shared" si="124"/>
        <v>0</v>
      </c>
      <c r="AP125" s="102">
        <f t="shared" si="124"/>
        <v>0</v>
      </c>
      <c r="AQ125" s="102">
        <f t="shared" si="124"/>
        <v>0</v>
      </c>
      <c r="AR125" s="102">
        <f t="shared" si="124"/>
        <v>0</v>
      </c>
      <c r="AS125" s="102">
        <f t="shared" si="124"/>
        <v>0</v>
      </c>
      <c r="AT125" s="102">
        <f t="shared" si="124"/>
        <v>0</v>
      </c>
      <c r="AU125" s="102">
        <f t="shared" si="124"/>
        <v>0</v>
      </c>
      <c r="AV125" s="102">
        <f t="shared" si="124"/>
        <v>0</v>
      </c>
      <c r="AW125" s="102">
        <f t="shared" si="124"/>
        <v>0</v>
      </c>
      <c r="AX125" s="102"/>
      <c r="AY125" s="102"/>
      <c r="AZ125" s="102"/>
      <c r="BA125" s="102"/>
      <c r="BB125" s="102"/>
      <c r="BC125" s="102"/>
      <c r="BD125" s="102"/>
      <c r="BE125" s="102"/>
      <c r="BF125" s="102"/>
      <c r="BG125" s="102"/>
      <c r="BH125" s="102"/>
      <c r="BI125" s="102"/>
    </row>
    <row r="126" spans="1:61" s="17" customFormat="1" hidden="1" outlineLevel="1" x14ac:dyDescent="0.25">
      <c r="A126" s="16" t="s">
        <v>227</v>
      </c>
      <c r="B126" s="101">
        <f t="shared" si="119"/>
        <v>0</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f t="shared" ref="AJ126:AX126" si="125">+AI127-AJ120</f>
        <v>0</v>
      </c>
      <c r="AK126" s="102">
        <f t="shared" si="125"/>
        <v>0</v>
      </c>
      <c r="AL126" s="102">
        <f t="shared" si="125"/>
        <v>0</v>
      </c>
      <c r="AM126" s="102">
        <f t="shared" si="125"/>
        <v>0</v>
      </c>
      <c r="AN126" s="102">
        <f t="shared" si="125"/>
        <v>0</v>
      </c>
      <c r="AO126" s="102">
        <f t="shared" si="125"/>
        <v>0</v>
      </c>
      <c r="AP126" s="102">
        <f t="shared" si="125"/>
        <v>0</v>
      </c>
      <c r="AQ126" s="102">
        <f t="shared" si="125"/>
        <v>0</v>
      </c>
      <c r="AR126" s="102">
        <f t="shared" si="125"/>
        <v>0</v>
      </c>
      <c r="AS126" s="102">
        <f t="shared" si="125"/>
        <v>0</v>
      </c>
      <c r="AT126" s="102">
        <f t="shared" si="125"/>
        <v>0</v>
      </c>
      <c r="AU126" s="102">
        <f t="shared" si="125"/>
        <v>0</v>
      </c>
      <c r="AV126" s="102">
        <f t="shared" si="125"/>
        <v>0</v>
      </c>
      <c r="AW126" s="102">
        <f t="shared" si="125"/>
        <v>0</v>
      </c>
      <c r="AX126" s="102">
        <f t="shared" si="125"/>
        <v>0</v>
      </c>
      <c r="AY126" s="102"/>
      <c r="AZ126" s="102"/>
      <c r="BA126" s="102"/>
      <c r="BB126" s="102"/>
      <c r="BC126" s="102"/>
      <c r="BD126" s="102"/>
      <c r="BE126" s="102"/>
      <c r="BF126" s="102"/>
      <c r="BG126" s="102"/>
      <c r="BH126" s="102"/>
      <c r="BI126" s="102"/>
    </row>
    <row r="127" spans="1:61" s="17" customFormat="1" hidden="1" outlineLevel="1" x14ac:dyDescent="0.25">
      <c r="A127" s="16" t="s">
        <v>16</v>
      </c>
      <c r="B127" s="101">
        <f t="shared" si="119"/>
        <v>0</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f>AI119-AI120</f>
        <v>0</v>
      </c>
      <c r="AJ127" s="102">
        <f t="shared" ref="AJ127:AX127" si="126">+AJ126-AJ121</f>
        <v>0</v>
      </c>
      <c r="AK127" s="102">
        <f t="shared" si="126"/>
        <v>0</v>
      </c>
      <c r="AL127" s="102">
        <f t="shared" si="126"/>
        <v>0</v>
      </c>
      <c r="AM127" s="102">
        <f t="shared" si="126"/>
        <v>0</v>
      </c>
      <c r="AN127" s="102">
        <f t="shared" si="126"/>
        <v>0</v>
      </c>
      <c r="AO127" s="102">
        <f t="shared" si="126"/>
        <v>0</v>
      </c>
      <c r="AP127" s="102">
        <f t="shared" si="126"/>
        <v>0</v>
      </c>
      <c r="AQ127" s="102">
        <f t="shared" si="126"/>
        <v>0</v>
      </c>
      <c r="AR127" s="102">
        <f t="shared" si="126"/>
        <v>0</v>
      </c>
      <c r="AS127" s="102">
        <f t="shared" si="126"/>
        <v>0</v>
      </c>
      <c r="AT127" s="102">
        <f t="shared" si="126"/>
        <v>0</v>
      </c>
      <c r="AU127" s="102">
        <f t="shared" si="126"/>
        <v>0</v>
      </c>
      <c r="AV127" s="102">
        <f t="shared" si="126"/>
        <v>0</v>
      </c>
      <c r="AW127" s="102">
        <f t="shared" si="126"/>
        <v>0</v>
      </c>
      <c r="AX127" s="102">
        <f t="shared" si="126"/>
        <v>0</v>
      </c>
      <c r="AY127" s="102"/>
      <c r="AZ127" s="102"/>
      <c r="BA127" s="102"/>
      <c r="BB127" s="102"/>
      <c r="BC127" s="102"/>
      <c r="BD127" s="102"/>
      <c r="BE127" s="102"/>
      <c r="BF127" s="102"/>
      <c r="BG127" s="102"/>
      <c r="BH127" s="102"/>
      <c r="BI127" s="102"/>
    </row>
    <row r="128" spans="1:61" s="17" customFormat="1" hidden="1" outlineLevel="1" x14ac:dyDescent="0.25">
      <c r="A128" s="16"/>
      <c r="B128" s="101">
        <f t="shared" si="119"/>
        <v>0</v>
      </c>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row>
    <row r="129" spans="1:61" s="17" customFormat="1" collapsed="1" x14ac:dyDescent="0.25">
      <c r="A129" s="16"/>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row>
    <row r="130" spans="1:61" s="104" customFormat="1" x14ac:dyDescent="0.25">
      <c r="A130" s="21" t="s">
        <v>228</v>
      </c>
      <c r="B130" s="101">
        <f t="shared" si="66"/>
        <v>158.31125312692672</v>
      </c>
      <c r="C130" s="103"/>
      <c r="D130" s="103">
        <f t="shared" ref="D130:BD130" si="127">SUMIF($A$29:$A$129,"Debt Forecasted",D29:D129)</f>
        <v>0</v>
      </c>
      <c r="E130" s="103">
        <f t="shared" si="127"/>
        <v>0</v>
      </c>
      <c r="F130" s="103">
        <f t="shared" si="127"/>
        <v>0</v>
      </c>
      <c r="G130" s="103">
        <f t="shared" si="127"/>
        <v>0</v>
      </c>
      <c r="H130" s="103">
        <f t="shared" si="127"/>
        <v>0</v>
      </c>
      <c r="I130" s="103">
        <f t="shared" si="127"/>
        <v>0</v>
      </c>
      <c r="J130" s="103">
        <f t="shared" si="127"/>
        <v>0</v>
      </c>
      <c r="K130" s="103">
        <f t="shared" si="127"/>
        <v>0</v>
      </c>
      <c r="L130" s="103">
        <f t="shared" si="127"/>
        <v>0</v>
      </c>
      <c r="M130" s="103">
        <f t="shared" si="127"/>
        <v>0</v>
      </c>
      <c r="N130" s="103">
        <f t="shared" si="127"/>
        <v>0</v>
      </c>
      <c r="O130" s="103">
        <f t="shared" si="127"/>
        <v>0</v>
      </c>
      <c r="P130" s="103">
        <f t="shared" si="127"/>
        <v>0</v>
      </c>
      <c r="Q130" s="103">
        <f t="shared" si="127"/>
        <v>0</v>
      </c>
      <c r="R130" s="103">
        <f t="shared" si="127"/>
        <v>0</v>
      </c>
      <c r="S130" s="103">
        <f t="shared" si="127"/>
        <v>0</v>
      </c>
      <c r="T130" s="103">
        <f t="shared" si="127"/>
        <v>0</v>
      </c>
      <c r="U130" s="103">
        <f t="shared" si="127"/>
        <v>0</v>
      </c>
      <c r="V130" s="103">
        <f t="shared" si="127"/>
        <v>0</v>
      </c>
      <c r="W130" s="103">
        <f t="shared" si="127"/>
        <v>0</v>
      </c>
      <c r="X130" s="103">
        <f t="shared" si="127"/>
        <v>0</v>
      </c>
      <c r="Y130" s="103">
        <f t="shared" si="127"/>
        <v>0</v>
      </c>
      <c r="Z130" s="103">
        <f t="shared" si="127"/>
        <v>129.69253312692672</v>
      </c>
      <c r="AA130" s="103">
        <f t="shared" si="127"/>
        <v>28.618720000000003</v>
      </c>
      <c r="AB130" s="103">
        <f t="shared" si="127"/>
        <v>0</v>
      </c>
      <c r="AC130" s="103">
        <f t="shared" si="127"/>
        <v>0</v>
      </c>
      <c r="AD130" s="103">
        <f t="shared" si="127"/>
        <v>0</v>
      </c>
      <c r="AE130" s="103">
        <f t="shared" si="127"/>
        <v>0</v>
      </c>
      <c r="AF130" s="103">
        <f t="shared" si="127"/>
        <v>0</v>
      </c>
      <c r="AG130" s="103">
        <f t="shared" si="127"/>
        <v>0</v>
      </c>
      <c r="AH130" s="103">
        <f t="shared" si="127"/>
        <v>0</v>
      </c>
      <c r="AI130" s="103">
        <f t="shared" si="127"/>
        <v>0</v>
      </c>
      <c r="AJ130" s="103">
        <f t="shared" si="127"/>
        <v>0</v>
      </c>
      <c r="AK130" s="103">
        <f t="shared" si="127"/>
        <v>0</v>
      </c>
      <c r="AL130" s="103">
        <f t="shared" si="127"/>
        <v>0</v>
      </c>
      <c r="AM130" s="103">
        <f t="shared" si="127"/>
        <v>0</v>
      </c>
      <c r="AN130" s="103">
        <f t="shared" si="127"/>
        <v>0</v>
      </c>
      <c r="AO130" s="103">
        <f t="shared" si="127"/>
        <v>0</v>
      </c>
      <c r="AP130" s="103">
        <f t="shared" si="127"/>
        <v>0</v>
      </c>
      <c r="AQ130" s="103">
        <f t="shared" si="127"/>
        <v>0</v>
      </c>
      <c r="AR130" s="103">
        <f t="shared" si="127"/>
        <v>0</v>
      </c>
      <c r="AS130" s="103">
        <f t="shared" si="127"/>
        <v>0</v>
      </c>
      <c r="AT130" s="103">
        <f t="shared" si="127"/>
        <v>0</v>
      </c>
      <c r="AU130" s="103">
        <f t="shared" si="127"/>
        <v>0</v>
      </c>
      <c r="AV130" s="103">
        <f t="shared" si="127"/>
        <v>0</v>
      </c>
      <c r="AW130" s="103">
        <f t="shared" si="127"/>
        <v>0</v>
      </c>
      <c r="AX130" s="103">
        <f t="shared" si="127"/>
        <v>0</v>
      </c>
      <c r="AY130" s="103">
        <f t="shared" si="127"/>
        <v>0</v>
      </c>
      <c r="AZ130" s="103">
        <f t="shared" si="127"/>
        <v>0</v>
      </c>
      <c r="BA130" s="103">
        <f t="shared" si="127"/>
        <v>0</v>
      </c>
      <c r="BB130" s="103">
        <f t="shared" si="127"/>
        <v>0</v>
      </c>
      <c r="BC130" s="103">
        <f t="shared" si="127"/>
        <v>0</v>
      </c>
      <c r="BD130" s="103">
        <f t="shared" si="127"/>
        <v>0</v>
      </c>
      <c r="BE130" s="103"/>
      <c r="BF130" s="103"/>
      <c r="BG130" s="103"/>
      <c r="BH130" s="103"/>
      <c r="BI130" s="103"/>
    </row>
    <row r="131" spans="1:61" s="17" customFormat="1" x14ac:dyDescent="0.25">
      <c r="A131" s="16" t="s">
        <v>223</v>
      </c>
      <c r="B131" s="101">
        <f t="shared" si="66"/>
        <v>158.31125312692677</v>
      </c>
      <c r="C131" s="102">
        <f t="shared" ref="C131:BD131" si="128">SUMIF($A$29:$A$129,"Principal",C29:C129)</f>
        <v>0</v>
      </c>
      <c r="D131" s="102">
        <f t="shared" si="128"/>
        <v>0</v>
      </c>
      <c r="E131" s="102">
        <f t="shared" si="128"/>
        <v>0</v>
      </c>
      <c r="F131" s="102">
        <f t="shared" si="128"/>
        <v>0</v>
      </c>
      <c r="G131" s="102">
        <f t="shared" si="128"/>
        <v>0</v>
      </c>
      <c r="H131" s="102">
        <f t="shared" si="128"/>
        <v>0</v>
      </c>
      <c r="I131" s="102">
        <f t="shared" si="128"/>
        <v>0</v>
      </c>
      <c r="J131" s="102">
        <f t="shared" si="128"/>
        <v>0</v>
      </c>
      <c r="K131" s="102">
        <f t="shared" si="128"/>
        <v>0</v>
      </c>
      <c r="L131" s="102">
        <f t="shared" si="128"/>
        <v>0</v>
      </c>
      <c r="M131" s="102">
        <f t="shared" si="128"/>
        <v>0</v>
      </c>
      <c r="N131" s="102">
        <f t="shared" si="128"/>
        <v>0</v>
      </c>
      <c r="O131" s="102">
        <f t="shared" si="128"/>
        <v>0</v>
      </c>
      <c r="P131" s="102">
        <f t="shared" si="128"/>
        <v>0</v>
      </c>
      <c r="Q131" s="102">
        <f t="shared" si="128"/>
        <v>0</v>
      </c>
      <c r="R131" s="102">
        <f t="shared" si="128"/>
        <v>0</v>
      </c>
      <c r="S131" s="102">
        <f t="shared" si="128"/>
        <v>0</v>
      </c>
      <c r="T131" s="102">
        <f t="shared" si="128"/>
        <v>0</v>
      </c>
      <c r="U131" s="102">
        <f t="shared" si="128"/>
        <v>0</v>
      </c>
      <c r="V131" s="102">
        <f t="shared" si="128"/>
        <v>0</v>
      </c>
      <c r="W131" s="102">
        <f t="shared" si="128"/>
        <v>0</v>
      </c>
      <c r="X131" s="102">
        <f t="shared" si="128"/>
        <v>0</v>
      </c>
      <c r="Y131" s="102">
        <f t="shared" si="128"/>
        <v>0</v>
      </c>
      <c r="Z131" s="102">
        <f t="shared" si="128"/>
        <v>1.2382769502315991</v>
      </c>
      <c r="AA131" s="102">
        <f t="shared" si="128"/>
        <v>3.2260910646691032</v>
      </c>
      <c r="AB131" s="102">
        <f t="shared" si="128"/>
        <v>4.066232531184176</v>
      </c>
      <c r="AC131" s="102">
        <f t="shared" si="128"/>
        <v>4.2873390080036433</v>
      </c>
      <c r="AD131" s="102">
        <f t="shared" si="128"/>
        <v>4.5204829959896644</v>
      </c>
      <c r="AE131" s="102">
        <f t="shared" si="128"/>
        <v>4.7663206144879542</v>
      </c>
      <c r="AF131" s="102">
        <f t="shared" si="128"/>
        <v>5.0255437862275807</v>
      </c>
      <c r="AG131" s="102">
        <f t="shared" si="128"/>
        <v>5.2988821932088586</v>
      </c>
      <c r="AH131" s="102">
        <f t="shared" si="128"/>
        <v>5.5871053395523012</v>
      </c>
      <c r="AI131" s="102">
        <f t="shared" si="128"/>
        <v>5.8910247271639307</v>
      </c>
      <c r="AJ131" s="102">
        <f t="shared" si="128"/>
        <v>6.21149615039318</v>
      </c>
      <c r="AK131" s="102">
        <f t="shared" si="128"/>
        <v>6.5494221161979729</v>
      </c>
      <c r="AL131" s="102">
        <f t="shared" si="128"/>
        <v>6.9057543966886801</v>
      </c>
      <c r="AM131" s="102">
        <f t="shared" si="128"/>
        <v>7.2814967212991828</v>
      </c>
      <c r="AN131" s="102">
        <f t="shared" si="128"/>
        <v>7.6777076162305455</v>
      </c>
      <c r="AO131" s="102">
        <f t="shared" si="128"/>
        <v>8.0955033992318697</v>
      </c>
      <c r="AP131" s="102">
        <f t="shared" si="128"/>
        <v>7.1593226052753653</v>
      </c>
      <c r="AQ131" s="102">
        <f t="shared" si="128"/>
        <v>6.1408673727239869</v>
      </c>
      <c r="AR131" s="102">
        <f t="shared" si="128"/>
        <v>6.4829478323436822</v>
      </c>
      <c r="AS131" s="102">
        <f t="shared" si="128"/>
        <v>6.844084075739687</v>
      </c>
      <c r="AT131" s="102">
        <f t="shared" si="128"/>
        <v>7.2253376160300933</v>
      </c>
      <c r="AU131" s="102">
        <f t="shared" si="128"/>
        <v>7.6278290985163313</v>
      </c>
      <c r="AV131" s="102">
        <f t="shared" si="128"/>
        <v>8.0527415946745897</v>
      </c>
      <c r="AW131" s="102">
        <f t="shared" si="128"/>
        <v>8.5013240796408756</v>
      </c>
      <c r="AX131" s="102">
        <f t="shared" si="128"/>
        <v>8.9748951034113382</v>
      </c>
      <c r="AY131" s="102">
        <f t="shared" si="128"/>
        <v>4.6732241378105641</v>
      </c>
      <c r="AZ131" s="102">
        <f t="shared" si="128"/>
        <v>0</v>
      </c>
      <c r="BA131" s="102">
        <f t="shared" si="128"/>
        <v>0</v>
      </c>
      <c r="BB131" s="102">
        <f t="shared" si="128"/>
        <v>0</v>
      </c>
      <c r="BC131" s="102">
        <f t="shared" si="128"/>
        <v>0</v>
      </c>
      <c r="BD131" s="102">
        <f t="shared" si="128"/>
        <v>0</v>
      </c>
      <c r="BE131" s="102"/>
      <c r="BF131" s="102"/>
      <c r="BG131" s="102"/>
      <c r="BH131" s="102"/>
      <c r="BI131" s="102"/>
    </row>
    <row r="132" spans="1:61" s="17" customFormat="1" x14ac:dyDescent="0.25">
      <c r="A132" s="16" t="s">
        <v>224</v>
      </c>
      <c r="B132" s="101">
        <f>SUM(C132:BB132)</f>
        <v>123.07203529847465</v>
      </c>
      <c r="C132" s="102">
        <f t="shared" ref="C132:BD132" si="129">SUMIF($A$29:$A$129,"Interest",C29:C129)</f>
        <v>0</v>
      </c>
      <c r="D132" s="102">
        <f t="shared" si="129"/>
        <v>0</v>
      </c>
      <c r="E132" s="102">
        <f t="shared" si="129"/>
        <v>0</v>
      </c>
      <c r="F132" s="102">
        <f t="shared" si="129"/>
        <v>0</v>
      </c>
      <c r="G132" s="102">
        <f t="shared" si="129"/>
        <v>0</v>
      </c>
      <c r="H132" s="102">
        <f t="shared" si="129"/>
        <v>0</v>
      </c>
      <c r="I132" s="102">
        <f t="shared" si="129"/>
        <v>0</v>
      </c>
      <c r="J132" s="102">
        <f t="shared" si="129"/>
        <v>0</v>
      </c>
      <c r="K132" s="102">
        <f t="shared" si="129"/>
        <v>0</v>
      </c>
      <c r="L132" s="102">
        <f t="shared" si="129"/>
        <v>0</v>
      </c>
      <c r="M132" s="102">
        <f t="shared" si="129"/>
        <v>0</v>
      </c>
      <c r="N132" s="102">
        <f t="shared" si="129"/>
        <v>0</v>
      </c>
      <c r="O132" s="102">
        <f t="shared" si="129"/>
        <v>0</v>
      </c>
      <c r="P132" s="102">
        <f t="shared" si="129"/>
        <v>0</v>
      </c>
      <c r="Q132" s="102">
        <f t="shared" si="129"/>
        <v>0</v>
      </c>
      <c r="R132" s="102">
        <f t="shared" si="129"/>
        <v>0</v>
      </c>
      <c r="S132" s="102">
        <f t="shared" si="129"/>
        <v>0</v>
      </c>
      <c r="T132" s="102">
        <f t="shared" si="129"/>
        <v>0</v>
      </c>
      <c r="U132" s="102">
        <f t="shared" si="129"/>
        <v>0</v>
      </c>
      <c r="V132" s="102">
        <f t="shared" si="129"/>
        <v>0</v>
      </c>
      <c r="W132" s="102">
        <f t="shared" si="129"/>
        <v>0</v>
      </c>
      <c r="X132" s="102">
        <f t="shared" si="129"/>
        <v>0</v>
      </c>
      <c r="Y132" s="102">
        <f t="shared" si="129"/>
        <v>0</v>
      </c>
      <c r="Z132" s="102">
        <f t="shared" si="129"/>
        <v>3.563345578506687</v>
      </c>
      <c r="AA132" s="102">
        <f t="shared" si="129"/>
        <v>7.7538927257570389</v>
      </c>
      <c r="AB132" s="102">
        <f t="shared" si="129"/>
        <v>8.2904899921915369</v>
      </c>
      <c r="AC132" s="102">
        <f t="shared" si="129"/>
        <v>8.0693835153720688</v>
      </c>
      <c r="AD132" s="102">
        <f t="shared" si="129"/>
        <v>7.8362395273860486</v>
      </c>
      <c r="AE132" s="102">
        <f t="shared" si="129"/>
        <v>7.5904019088877579</v>
      </c>
      <c r="AF132" s="102">
        <f t="shared" si="129"/>
        <v>7.3311787371481314</v>
      </c>
      <c r="AG132" s="102">
        <f t="shared" si="129"/>
        <v>7.0578403301668535</v>
      </c>
      <c r="AH132" s="102">
        <f t="shared" si="129"/>
        <v>6.7696171838234109</v>
      </c>
      <c r="AI132" s="102">
        <f t="shared" si="129"/>
        <v>6.4656977962117814</v>
      </c>
      <c r="AJ132" s="102">
        <f t="shared" si="129"/>
        <v>6.145226372982532</v>
      </c>
      <c r="AK132" s="102">
        <f t="shared" si="129"/>
        <v>5.8073004071777392</v>
      </c>
      <c r="AL132" s="102">
        <f t="shared" si="129"/>
        <v>5.450968126687032</v>
      </c>
      <c r="AM132" s="102">
        <f t="shared" si="129"/>
        <v>5.0752258020765293</v>
      </c>
      <c r="AN132" s="102">
        <f t="shared" si="129"/>
        <v>4.6790149071451665</v>
      </c>
      <c r="AO132" s="102">
        <f t="shared" si="129"/>
        <v>4.2612191241438406</v>
      </c>
      <c r="AP132" s="102">
        <f t="shared" si="129"/>
        <v>3.8206611851507772</v>
      </c>
      <c r="AQ132" s="102">
        <f t="shared" si="129"/>
        <v>3.4623776847525849</v>
      </c>
      <c r="AR132" s="102">
        <f t="shared" si="129"/>
        <v>3.12029722513289</v>
      </c>
      <c r="AS132" s="102">
        <f t="shared" si="129"/>
        <v>2.7591609817368852</v>
      </c>
      <c r="AT132" s="102">
        <f t="shared" si="129"/>
        <v>2.3779074414464789</v>
      </c>
      <c r="AU132" s="102">
        <f t="shared" si="129"/>
        <v>1.9754159589602409</v>
      </c>
      <c r="AV132" s="102">
        <f t="shared" si="129"/>
        <v>1.5505034628019834</v>
      </c>
      <c r="AW132" s="102">
        <f t="shared" si="129"/>
        <v>1.1019209778356966</v>
      </c>
      <c r="AX132" s="102">
        <f t="shared" si="129"/>
        <v>0.62834995406523353</v>
      </c>
      <c r="AY132" s="102">
        <f t="shared" si="129"/>
        <v>0.12839839092772198</v>
      </c>
      <c r="AZ132" s="102">
        <f t="shared" si="129"/>
        <v>0</v>
      </c>
      <c r="BA132" s="102">
        <f t="shared" si="129"/>
        <v>0</v>
      </c>
      <c r="BB132" s="102">
        <f t="shared" si="129"/>
        <v>0</v>
      </c>
      <c r="BC132" s="102">
        <f t="shared" si="129"/>
        <v>0</v>
      </c>
      <c r="BD132" s="102">
        <f t="shared" si="129"/>
        <v>0</v>
      </c>
      <c r="BE132" s="102"/>
      <c r="BF132" s="102"/>
      <c r="BG132" s="102"/>
      <c r="BH132" s="102"/>
      <c r="BI132" s="102"/>
    </row>
    <row r="133" spans="1:61" s="17" customFormat="1" x14ac:dyDescent="0.25">
      <c r="A133" s="16" t="s">
        <v>225</v>
      </c>
      <c r="B133" s="101">
        <f t="shared" si="66"/>
        <v>281.38328842540136</v>
      </c>
      <c r="C133" s="102">
        <f>+C131+C132</f>
        <v>0</v>
      </c>
      <c r="D133" s="102">
        <f t="shared" ref="D133:AZ133" si="130">+D131+D132</f>
        <v>0</v>
      </c>
      <c r="E133" s="102">
        <f t="shared" si="130"/>
        <v>0</v>
      </c>
      <c r="F133" s="102">
        <f t="shared" si="130"/>
        <v>0</v>
      </c>
      <c r="G133" s="102">
        <f t="shared" si="130"/>
        <v>0</v>
      </c>
      <c r="H133" s="102">
        <f t="shared" si="130"/>
        <v>0</v>
      </c>
      <c r="I133" s="102">
        <f t="shared" si="130"/>
        <v>0</v>
      </c>
      <c r="J133" s="102">
        <f t="shared" si="130"/>
        <v>0</v>
      </c>
      <c r="K133" s="102">
        <f t="shared" si="130"/>
        <v>0</v>
      </c>
      <c r="L133" s="102">
        <f t="shared" si="130"/>
        <v>0</v>
      </c>
      <c r="M133" s="102">
        <f t="shared" si="130"/>
        <v>0</v>
      </c>
      <c r="N133" s="102">
        <f t="shared" si="130"/>
        <v>0</v>
      </c>
      <c r="O133" s="102">
        <f t="shared" si="130"/>
        <v>0</v>
      </c>
      <c r="P133" s="102">
        <f t="shared" si="130"/>
        <v>0</v>
      </c>
      <c r="Q133" s="102">
        <f t="shared" si="130"/>
        <v>0</v>
      </c>
      <c r="R133" s="102">
        <f t="shared" si="130"/>
        <v>0</v>
      </c>
      <c r="S133" s="102">
        <f t="shared" si="130"/>
        <v>0</v>
      </c>
      <c r="T133" s="102">
        <f t="shared" si="130"/>
        <v>0</v>
      </c>
      <c r="U133" s="102">
        <f t="shared" si="130"/>
        <v>0</v>
      </c>
      <c r="V133" s="102">
        <f t="shared" si="130"/>
        <v>0</v>
      </c>
      <c r="W133" s="102">
        <f t="shared" si="130"/>
        <v>0</v>
      </c>
      <c r="X133" s="102">
        <f t="shared" si="130"/>
        <v>0</v>
      </c>
      <c r="Y133" s="102">
        <f t="shared" si="130"/>
        <v>0</v>
      </c>
      <c r="Z133" s="102">
        <f t="shared" si="130"/>
        <v>4.8016225287382861</v>
      </c>
      <c r="AA133" s="102">
        <f t="shared" si="130"/>
        <v>10.979983790426143</v>
      </c>
      <c r="AB133" s="102">
        <f t="shared" si="130"/>
        <v>12.356722523375712</v>
      </c>
      <c r="AC133" s="102">
        <f t="shared" si="130"/>
        <v>12.356722523375712</v>
      </c>
      <c r="AD133" s="102">
        <f t="shared" si="130"/>
        <v>12.356722523375712</v>
      </c>
      <c r="AE133" s="102">
        <f t="shared" si="130"/>
        <v>12.356722523375712</v>
      </c>
      <c r="AF133" s="102">
        <f t="shared" si="130"/>
        <v>12.356722523375712</v>
      </c>
      <c r="AG133" s="102">
        <f t="shared" si="130"/>
        <v>12.356722523375712</v>
      </c>
      <c r="AH133" s="102">
        <f t="shared" si="130"/>
        <v>12.356722523375712</v>
      </c>
      <c r="AI133" s="102">
        <f t="shared" si="130"/>
        <v>12.356722523375712</v>
      </c>
      <c r="AJ133" s="102">
        <f t="shared" si="130"/>
        <v>12.356722523375712</v>
      </c>
      <c r="AK133" s="102">
        <f t="shared" si="130"/>
        <v>12.356722523375712</v>
      </c>
      <c r="AL133" s="102">
        <f t="shared" si="130"/>
        <v>12.356722523375712</v>
      </c>
      <c r="AM133" s="102">
        <f t="shared" si="130"/>
        <v>12.356722523375712</v>
      </c>
      <c r="AN133" s="102">
        <f t="shared" si="130"/>
        <v>12.356722523375712</v>
      </c>
      <c r="AO133" s="102">
        <f t="shared" si="130"/>
        <v>12.35672252337571</v>
      </c>
      <c r="AP133" s="102">
        <f t="shared" si="130"/>
        <v>10.979983790426143</v>
      </c>
      <c r="AQ133" s="102">
        <f t="shared" si="130"/>
        <v>9.6032450574765722</v>
      </c>
      <c r="AR133" s="102">
        <f t="shared" si="130"/>
        <v>9.6032450574765722</v>
      </c>
      <c r="AS133" s="102">
        <f t="shared" si="130"/>
        <v>9.6032450574765722</v>
      </c>
      <c r="AT133" s="102">
        <f t="shared" si="130"/>
        <v>9.6032450574765722</v>
      </c>
      <c r="AU133" s="102">
        <f t="shared" si="130"/>
        <v>9.6032450574765722</v>
      </c>
      <c r="AV133" s="102">
        <f t="shared" si="130"/>
        <v>9.603245057476574</v>
      </c>
      <c r="AW133" s="102">
        <f t="shared" si="130"/>
        <v>9.6032450574765722</v>
      </c>
      <c r="AX133" s="102">
        <f t="shared" si="130"/>
        <v>9.6032450574765722</v>
      </c>
      <c r="AY133" s="102">
        <f t="shared" si="130"/>
        <v>4.8016225287382861</v>
      </c>
      <c r="AZ133" s="102">
        <f t="shared" si="130"/>
        <v>0</v>
      </c>
      <c r="BA133" s="102">
        <f>+BA131+BA132</f>
        <v>0</v>
      </c>
      <c r="BB133" s="102">
        <f>+BB131+BB132</f>
        <v>0</v>
      </c>
      <c r="BC133" s="102">
        <f>+BC131+BC132</f>
        <v>0</v>
      </c>
      <c r="BD133" s="102">
        <f>+BD131+BD132</f>
        <v>0</v>
      </c>
      <c r="BE133" s="102"/>
      <c r="BF133" s="102"/>
      <c r="BG133" s="102"/>
      <c r="BH133" s="102"/>
      <c r="BI133" s="102"/>
    </row>
    <row r="134" spans="1:61" s="17" customFormat="1" x14ac:dyDescent="0.25">
      <c r="A134" s="16" t="s">
        <v>16</v>
      </c>
      <c r="B134" s="101"/>
      <c r="C134" s="102">
        <f t="shared" ref="C134:BD134" si="131">SUMIF($A$29:$A$129,"Balance",C29:C129)</f>
        <v>0</v>
      </c>
      <c r="D134" s="102">
        <f t="shared" si="131"/>
        <v>0</v>
      </c>
      <c r="E134" s="102">
        <f t="shared" si="131"/>
        <v>0</v>
      </c>
      <c r="F134" s="102">
        <f t="shared" si="131"/>
        <v>0</v>
      </c>
      <c r="G134" s="102">
        <f t="shared" si="131"/>
        <v>0</v>
      </c>
      <c r="H134" s="102">
        <f t="shared" si="131"/>
        <v>0</v>
      </c>
      <c r="I134" s="102">
        <f t="shared" si="131"/>
        <v>0</v>
      </c>
      <c r="J134" s="102">
        <f t="shared" si="131"/>
        <v>0</v>
      </c>
      <c r="K134" s="102">
        <f t="shared" si="131"/>
        <v>0</v>
      </c>
      <c r="L134" s="102">
        <f t="shared" si="131"/>
        <v>0</v>
      </c>
      <c r="M134" s="102">
        <f t="shared" si="131"/>
        <v>0</v>
      </c>
      <c r="N134" s="102">
        <f t="shared" si="131"/>
        <v>0</v>
      </c>
      <c r="O134" s="102">
        <f t="shared" si="131"/>
        <v>0</v>
      </c>
      <c r="P134" s="102">
        <f t="shared" si="131"/>
        <v>0</v>
      </c>
      <c r="Q134" s="102">
        <f t="shared" si="131"/>
        <v>0</v>
      </c>
      <c r="R134" s="102">
        <f t="shared" si="131"/>
        <v>0</v>
      </c>
      <c r="S134" s="102">
        <f t="shared" si="131"/>
        <v>0</v>
      </c>
      <c r="T134" s="102">
        <f t="shared" si="131"/>
        <v>0</v>
      </c>
      <c r="U134" s="102">
        <f t="shared" si="131"/>
        <v>0</v>
      </c>
      <c r="V134" s="102">
        <f t="shared" si="131"/>
        <v>0</v>
      </c>
      <c r="W134" s="102">
        <f t="shared" si="131"/>
        <v>0</v>
      </c>
      <c r="X134" s="102">
        <f t="shared" si="131"/>
        <v>0</v>
      </c>
      <c r="Y134" s="102">
        <f t="shared" si="131"/>
        <v>0</v>
      </c>
      <c r="Z134" s="102">
        <f t="shared" si="131"/>
        <v>128.45425617669511</v>
      </c>
      <c r="AA134" s="102">
        <f t="shared" si="131"/>
        <v>153.84688511202603</v>
      </c>
      <c r="AB134" s="102">
        <f t="shared" si="131"/>
        <v>149.78065258084183</v>
      </c>
      <c r="AC134" s="102">
        <f t="shared" si="131"/>
        <v>145.49331357283822</v>
      </c>
      <c r="AD134" s="102">
        <f t="shared" si="131"/>
        <v>140.97283057684854</v>
      </c>
      <c r="AE134" s="102">
        <f t="shared" si="131"/>
        <v>136.2065099623606</v>
      </c>
      <c r="AF134" s="102">
        <f t="shared" si="131"/>
        <v>131.18096617613301</v>
      </c>
      <c r="AG134" s="102">
        <f t="shared" si="131"/>
        <v>125.88208398292414</v>
      </c>
      <c r="AH134" s="102">
        <f t="shared" si="131"/>
        <v>120.29497864337185</v>
      </c>
      <c r="AI134" s="102">
        <f t="shared" si="131"/>
        <v>114.40395391620791</v>
      </c>
      <c r="AJ134" s="102">
        <f t="shared" si="131"/>
        <v>108.19245776581472</v>
      </c>
      <c r="AK134" s="102">
        <f t="shared" si="131"/>
        <v>101.64303564961675</v>
      </c>
      <c r="AL134" s="102">
        <f t="shared" si="131"/>
        <v>94.737281252928071</v>
      </c>
      <c r="AM134" s="102">
        <f t="shared" si="131"/>
        <v>87.455784531628893</v>
      </c>
      <c r="AN134" s="102">
        <f t="shared" si="131"/>
        <v>79.77807691539833</v>
      </c>
      <c r="AO134" s="102">
        <f t="shared" si="131"/>
        <v>71.682573516166457</v>
      </c>
      <c r="AP134" s="102">
        <f t="shared" si="131"/>
        <v>64.523250910891093</v>
      </c>
      <c r="AQ134" s="102">
        <f t="shared" si="131"/>
        <v>58.382383538167119</v>
      </c>
      <c r="AR134" s="102">
        <f t="shared" si="131"/>
        <v>51.899435705823436</v>
      </c>
      <c r="AS134" s="102">
        <f t="shared" si="131"/>
        <v>45.055351630083749</v>
      </c>
      <c r="AT134" s="102">
        <f t="shared" si="131"/>
        <v>37.830014014053653</v>
      </c>
      <c r="AU134" s="102">
        <f t="shared" si="131"/>
        <v>30.202184915537323</v>
      </c>
      <c r="AV134" s="102">
        <f t="shared" si="131"/>
        <v>22.149443320862733</v>
      </c>
      <c r="AW134" s="102">
        <f t="shared" si="131"/>
        <v>13.648119241221856</v>
      </c>
      <c r="AX134" s="102">
        <f t="shared" si="131"/>
        <v>4.6732241378105179</v>
      </c>
      <c r="AY134" s="102">
        <f t="shared" si="131"/>
        <v>-4.6541652309883826E-14</v>
      </c>
      <c r="AZ134" s="102">
        <f t="shared" si="131"/>
        <v>0</v>
      </c>
      <c r="BA134" s="102">
        <f t="shared" si="131"/>
        <v>0</v>
      </c>
      <c r="BB134" s="102">
        <f t="shared" si="131"/>
        <v>0</v>
      </c>
      <c r="BC134" s="102">
        <f t="shared" si="131"/>
        <v>0</v>
      </c>
      <c r="BD134" s="102">
        <f t="shared" si="131"/>
        <v>0</v>
      </c>
      <c r="BE134" s="102"/>
      <c r="BF134" s="102"/>
      <c r="BG134" s="102"/>
      <c r="BH134" s="102"/>
      <c r="BI134" s="102"/>
    </row>
    <row r="135" spans="1:61" x14ac:dyDescent="0.25">
      <c r="A135" s="21"/>
      <c r="B135" s="101"/>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row>
    <row r="136" spans="1:61" x14ac:dyDescent="0.25">
      <c r="A136" s="20" t="s">
        <v>229</v>
      </c>
      <c r="B136" s="101"/>
      <c r="C136" s="102"/>
      <c r="D136" s="102"/>
      <c r="E136" s="102"/>
      <c r="F136" s="102"/>
      <c r="G136" s="102"/>
      <c r="H136" s="102"/>
      <c r="I136" s="102"/>
      <c r="J136" s="102"/>
      <c r="K136" s="102"/>
      <c r="L136" s="102"/>
      <c r="M136" s="102"/>
      <c r="N136" s="102"/>
      <c r="O136" s="102"/>
      <c r="P136" s="102"/>
      <c r="Q136" s="102"/>
      <c r="R136" s="102"/>
      <c r="S136" s="102">
        <f t="shared" ref="S136:AC136" si="132">S23+S130</f>
        <v>0</v>
      </c>
      <c r="T136" s="102">
        <f t="shared" si="132"/>
        <v>0</v>
      </c>
      <c r="U136" s="102">
        <f t="shared" si="132"/>
        <v>0</v>
      </c>
      <c r="V136" s="102">
        <f t="shared" si="132"/>
        <v>194.52457999999999</v>
      </c>
      <c r="W136" s="102">
        <f t="shared" si="132"/>
        <v>868.00699999999995</v>
      </c>
      <c r="X136" s="102">
        <f t="shared" si="132"/>
        <v>2781.748</v>
      </c>
      <c r="Y136" s="102">
        <f t="shared" si="132"/>
        <v>12885</v>
      </c>
      <c r="Z136" s="102">
        <f t="shared" si="132"/>
        <v>1428.3374431269267</v>
      </c>
      <c r="AA136" s="102">
        <f t="shared" si="132"/>
        <v>28.618720000000003</v>
      </c>
      <c r="AB136" s="102">
        <f t="shared" si="132"/>
        <v>0</v>
      </c>
      <c r="AC136" s="102">
        <f t="shared" si="132"/>
        <v>0</v>
      </c>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row>
    <row r="137" spans="1:61" x14ac:dyDescent="0.25">
      <c r="A137" s="16" t="s">
        <v>223</v>
      </c>
      <c r="B137" s="101">
        <f>SUM(C137:BB137)</f>
        <v>18186.555069631566</v>
      </c>
      <c r="C137" s="102">
        <f t="shared" ref="C137:BD139" si="133">SUM(C24,C131)</f>
        <v>0</v>
      </c>
      <c r="D137" s="102">
        <f t="shared" si="133"/>
        <v>0</v>
      </c>
      <c r="E137" s="102">
        <f t="shared" si="133"/>
        <v>0</v>
      </c>
      <c r="F137" s="102">
        <f t="shared" si="133"/>
        <v>0</v>
      </c>
      <c r="G137" s="102">
        <f t="shared" si="133"/>
        <v>0</v>
      </c>
      <c r="H137" s="102">
        <f t="shared" si="133"/>
        <v>0</v>
      </c>
      <c r="I137" s="102">
        <f t="shared" si="133"/>
        <v>0</v>
      </c>
      <c r="J137" s="102">
        <f t="shared" si="133"/>
        <v>0</v>
      </c>
      <c r="K137" s="102">
        <f t="shared" si="133"/>
        <v>0</v>
      </c>
      <c r="L137" s="102">
        <f t="shared" si="133"/>
        <v>0</v>
      </c>
      <c r="M137" s="102">
        <f t="shared" si="133"/>
        <v>0</v>
      </c>
      <c r="N137" s="102">
        <f t="shared" si="133"/>
        <v>0</v>
      </c>
      <c r="O137" s="102">
        <f t="shared" si="133"/>
        <v>0</v>
      </c>
      <c r="P137" s="102">
        <f t="shared" si="133"/>
        <v>0</v>
      </c>
      <c r="Q137" s="102">
        <f t="shared" si="133"/>
        <v>0</v>
      </c>
      <c r="R137" s="102">
        <f t="shared" si="133"/>
        <v>0</v>
      </c>
      <c r="S137" s="102">
        <f t="shared" si="133"/>
        <v>0</v>
      </c>
      <c r="T137" s="102">
        <f t="shared" si="133"/>
        <v>0</v>
      </c>
      <c r="U137" s="102">
        <f t="shared" si="133"/>
        <v>0</v>
      </c>
      <c r="V137" s="102">
        <f t="shared" si="133"/>
        <v>1.0677149059603921</v>
      </c>
      <c r="W137" s="102">
        <f t="shared" si="133"/>
        <v>6.7096498694590849</v>
      </c>
      <c r="X137" s="102">
        <f t="shared" si="133"/>
        <v>40.05147069669443</v>
      </c>
      <c r="Y137" s="102">
        <f t="shared" si="133"/>
        <v>165.66224967770845</v>
      </c>
      <c r="Z137" s="102">
        <f t="shared" si="133"/>
        <v>406.11652563832405</v>
      </c>
      <c r="AA137" s="102">
        <f t="shared" si="133"/>
        <v>438.3709513927069</v>
      </c>
      <c r="AB137" s="102">
        <f t="shared" si="133"/>
        <v>457.91557466841954</v>
      </c>
      <c r="AC137" s="102">
        <f t="shared" si="133"/>
        <v>477.68808768058318</v>
      </c>
      <c r="AD137" s="102">
        <f t="shared" si="133"/>
        <v>498.35936148331615</v>
      </c>
      <c r="AE137" s="102">
        <f t="shared" si="133"/>
        <v>519.97181055871886</v>
      </c>
      <c r="AF137" s="102">
        <f t="shared" si="133"/>
        <v>542.56984892315973</v>
      </c>
      <c r="AG137" s="102">
        <f t="shared" si="133"/>
        <v>566.20012535279704</v>
      </c>
      <c r="AH137" s="102">
        <f t="shared" si="133"/>
        <v>590.91143655265523</v>
      </c>
      <c r="AI137" s="102">
        <f t="shared" si="133"/>
        <v>616.75503086924346</v>
      </c>
      <c r="AJ137" s="102">
        <f t="shared" si="133"/>
        <v>643.78461582055456</v>
      </c>
      <c r="AK137" s="102">
        <f t="shared" si="133"/>
        <v>672.05654188836354</v>
      </c>
      <c r="AL137" s="102">
        <f t="shared" si="133"/>
        <v>701.62987162269178</v>
      </c>
      <c r="AM137" s="102">
        <f t="shared" si="133"/>
        <v>732.56654304839401</v>
      </c>
      <c r="AN137" s="102">
        <f t="shared" si="133"/>
        <v>764.93155510512281</v>
      </c>
      <c r="AO137" s="102">
        <f t="shared" si="133"/>
        <v>798.79302150554372</v>
      </c>
      <c r="AP137" s="102">
        <f t="shared" si="133"/>
        <v>832.84565295558468</v>
      </c>
      <c r="AQ137" s="102">
        <f t="shared" si="133"/>
        <v>868.43489829513521</v>
      </c>
      <c r="AR137" s="102">
        <f t="shared" si="133"/>
        <v>907.08085555045056</v>
      </c>
      <c r="AS137" s="102">
        <f t="shared" si="133"/>
        <v>947.52316976215502</v>
      </c>
      <c r="AT137" s="102">
        <f t="shared" si="133"/>
        <v>989.84791978607586</v>
      </c>
      <c r="AU137" s="102">
        <f t="shared" si="133"/>
        <v>1031.8232566613979</v>
      </c>
      <c r="AV137" s="102">
        <f t="shared" si="133"/>
        <v>1067.2846246369124</v>
      </c>
      <c r="AW137" s="102">
        <f t="shared" si="133"/>
        <v>1057.2769544199598</v>
      </c>
      <c r="AX137" s="102">
        <f t="shared" si="133"/>
        <v>791.57086813613444</v>
      </c>
      <c r="AY137" s="102">
        <f t="shared" si="133"/>
        <v>50.754882167343432</v>
      </c>
      <c r="AZ137" s="102">
        <f t="shared" si="133"/>
        <v>0</v>
      </c>
      <c r="BA137" s="102">
        <f t="shared" si="133"/>
        <v>0</v>
      </c>
      <c r="BB137" s="102">
        <f t="shared" si="133"/>
        <v>0</v>
      </c>
      <c r="BC137" s="102">
        <f t="shared" si="133"/>
        <v>0</v>
      </c>
      <c r="BD137" s="102">
        <f t="shared" si="133"/>
        <v>0</v>
      </c>
      <c r="BE137" s="102"/>
      <c r="BF137" s="102"/>
      <c r="BG137" s="102"/>
      <c r="BH137" s="102"/>
      <c r="BI137" s="102"/>
    </row>
    <row r="138" spans="1:61" x14ac:dyDescent="0.25">
      <c r="A138" s="16" t="s">
        <v>224</v>
      </c>
      <c r="B138" s="101">
        <f>SUM(C138:BB138)</f>
        <v>12013.316758665984</v>
      </c>
      <c r="C138" s="102">
        <f t="shared" si="133"/>
        <v>0</v>
      </c>
      <c r="D138" s="102">
        <f t="shared" si="133"/>
        <v>0</v>
      </c>
      <c r="E138" s="102">
        <f t="shared" si="133"/>
        <v>0</v>
      </c>
      <c r="F138" s="102">
        <f t="shared" si="133"/>
        <v>0</v>
      </c>
      <c r="G138" s="102">
        <f t="shared" si="133"/>
        <v>0</v>
      </c>
      <c r="H138" s="102">
        <f t="shared" si="133"/>
        <v>0</v>
      </c>
      <c r="I138" s="102">
        <f t="shared" si="133"/>
        <v>0</v>
      </c>
      <c r="J138" s="102">
        <f t="shared" si="133"/>
        <v>0</v>
      </c>
      <c r="K138" s="102">
        <f t="shared" si="133"/>
        <v>0</v>
      </c>
      <c r="L138" s="102">
        <f t="shared" si="133"/>
        <v>0</v>
      </c>
      <c r="M138" s="102">
        <f t="shared" si="133"/>
        <v>0</v>
      </c>
      <c r="N138" s="102">
        <f t="shared" si="133"/>
        <v>0</v>
      </c>
      <c r="O138" s="102">
        <f t="shared" si="133"/>
        <v>0</v>
      </c>
      <c r="P138" s="102">
        <f t="shared" si="133"/>
        <v>0</v>
      </c>
      <c r="Q138" s="102">
        <f t="shared" si="133"/>
        <v>0</v>
      </c>
      <c r="R138" s="102">
        <f t="shared" si="133"/>
        <v>0</v>
      </c>
      <c r="S138" s="102">
        <f t="shared" si="133"/>
        <v>0</v>
      </c>
      <c r="T138" s="102">
        <f t="shared" si="133"/>
        <v>0</v>
      </c>
      <c r="U138" s="102">
        <f t="shared" si="133"/>
        <v>0</v>
      </c>
      <c r="V138" s="102">
        <f t="shared" si="133"/>
        <v>2.1128611464333336</v>
      </c>
      <c r="W138" s="102">
        <f t="shared" si="133"/>
        <v>10.710023137832557</v>
      </c>
      <c r="X138" s="102">
        <f t="shared" si="133"/>
        <v>35.538935050424456</v>
      </c>
      <c r="Y138" s="102">
        <f t="shared" si="133"/>
        <v>376.73999940090982</v>
      </c>
      <c r="Z138" s="102">
        <f t="shared" si="133"/>
        <v>764.62502746326641</v>
      </c>
      <c r="AA138" s="102">
        <f t="shared" si="133"/>
        <v>765.01136799428912</v>
      </c>
      <c r="AB138" s="102">
        <f t="shared" si="133"/>
        <v>746.64130017029333</v>
      </c>
      <c r="AC138" s="102">
        <f t="shared" si="133"/>
        <v>726.65689382000323</v>
      </c>
      <c r="AD138" s="102">
        <f t="shared" si="133"/>
        <v>705.76353594295904</v>
      </c>
      <c r="AE138" s="102">
        <f t="shared" si="133"/>
        <v>683.91833208636319</v>
      </c>
      <c r="AF138" s="102">
        <f t="shared" si="133"/>
        <v>661.07630893283272</v>
      </c>
      <c r="AG138" s="102">
        <f t="shared" si="133"/>
        <v>637.19030938120579</v>
      </c>
      <c r="AH138" s="102">
        <f t="shared" si="133"/>
        <v>612.21090925237627</v>
      </c>
      <c r="AI138" s="102">
        <f t="shared" si="133"/>
        <v>586.08633563554815</v>
      </c>
      <c r="AJ138" s="102">
        <f t="shared" si="133"/>
        <v>558.76214221660666</v>
      </c>
      <c r="AK138" s="102">
        <f t="shared" si="133"/>
        <v>530.18137287530897</v>
      </c>
      <c r="AL138" s="102">
        <f t="shared" si="133"/>
        <v>500.28426358677768</v>
      </c>
      <c r="AM138" s="102">
        <f t="shared" si="133"/>
        <v>469.00809044577414</v>
      </c>
      <c r="AN138" s="102">
        <f t="shared" si="133"/>
        <v>436.28714841116096</v>
      </c>
      <c r="AO138" s="102">
        <f t="shared" si="133"/>
        <v>402.05246421326603</v>
      </c>
      <c r="AP138" s="102">
        <f t="shared" si="133"/>
        <v>366.23173954256902</v>
      </c>
      <c r="AQ138" s="102">
        <f t="shared" si="133"/>
        <v>328.85538445621182</v>
      </c>
      <c r="AR138" s="102">
        <f t="shared" si="133"/>
        <v>289.77910431717055</v>
      </c>
      <c r="AS138" s="102">
        <f t="shared" si="133"/>
        <v>248.88549990796244</v>
      </c>
      <c r="AT138" s="102">
        <f t="shared" si="133"/>
        <v>206.0874868012379</v>
      </c>
      <c r="AU138" s="102">
        <f t="shared" si="133"/>
        <v>161.31508350746972</v>
      </c>
      <c r="AV138" s="102">
        <f t="shared" si="133"/>
        <v>114.62394196656376</v>
      </c>
      <c r="AW138" s="102">
        <f t="shared" si="133"/>
        <v>66.404035962114108</v>
      </c>
      <c r="AX138" s="102">
        <f t="shared" si="133"/>
        <v>19.646375473364145</v>
      </c>
      <c r="AY138" s="102">
        <f t="shared" si="133"/>
        <v>0.63048556768591757</v>
      </c>
      <c r="AZ138" s="102">
        <f t="shared" si="133"/>
        <v>0</v>
      </c>
      <c r="BA138" s="102">
        <f t="shared" si="133"/>
        <v>0</v>
      </c>
      <c r="BB138" s="102">
        <f t="shared" si="133"/>
        <v>0</v>
      </c>
      <c r="BC138" s="102">
        <f t="shared" si="133"/>
        <v>0</v>
      </c>
      <c r="BD138" s="102">
        <f t="shared" si="133"/>
        <v>0</v>
      </c>
      <c r="BE138" s="102"/>
      <c r="BF138" s="102"/>
      <c r="BG138" s="102"/>
      <c r="BH138" s="102"/>
      <c r="BI138" s="102"/>
    </row>
    <row r="139" spans="1:61" x14ac:dyDescent="0.25">
      <c r="A139" s="16" t="s">
        <v>225</v>
      </c>
      <c r="B139" s="101">
        <f>SUM(C139:BB139)</f>
        <v>30199.87182829755</v>
      </c>
      <c r="C139" s="102">
        <f t="shared" si="133"/>
        <v>0</v>
      </c>
      <c r="D139" s="102">
        <f t="shared" si="133"/>
        <v>0</v>
      </c>
      <c r="E139" s="102">
        <f t="shared" si="133"/>
        <v>0</v>
      </c>
      <c r="F139" s="102">
        <f t="shared" si="133"/>
        <v>0</v>
      </c>
      <c r="G139" s="102">
        <f t="shared" si="133"/>
        <v>0</v>
      </c>
      <c r="H139" s="102">
        <f t="shared" si="133"/>
        <v>0</v>
      </c>
      <c r="I139" s="102">
        <f t="shared" si="133"/>
        <v>0</v>
      </c>
      <c r="J139" s="102">
        <f t="shared" si="133"/>
        <v>0</v>
      </c>
      <c r="K139" s="102">
        <f t="shared" si="133"/>
        <v>0</v>
      </c>
      <c r="L139" s="102">
        <f t="shared" si="133"/>
        <v>0</v>
      </c>
      <c r="M139" s="102">
        <f t="shared" si="133"/>
        <v>0</v>
      </c>
      <c r="N139" s="102">
        <f t="shared" si="133"/>
        <v>0</v>
      </c>
      <c r="O139" s="102">
        <f t="shared" si="133"/>
        <v>0</v>
      </c>
      <c r="P139" s="102">
        <f t="shared" si="133"/>
        <v>0</v>
      </c>
      <c r="Q139" s="102">
        <f t="shared" si="133"/>
        <v>0</v>
      </c>
      <c r="R139" s="102">
        <f t="shared" si="133"/>
        <v>0</v>
      </c>
      <c r="S139" s="102">
        <f t="shared" si="133"/>
        <v>0</v>
      </c>
      <c r="T139" s="102">
        <f t="shared" si="133"/>
        <v>0</v>
      </c>
      <c r="U139" s="102">
        <f t="shared" si="133"/>
        <v>0</v>
      </c>
      <c r="V139" s="102">
        <f t="shared" si="133"/>
        <v>3.1805760523937257</v>
      </c>
      <c r="W139" s="102">
        <f t="shared" si="133"/>
        <v>17.419673007291642</v>
      </c>
      <c r="X139" s="102">
        <f t="shared" si="133"/>
        <v>75.590405747118893</v>
      </c>
      <c r="Y139" s="102">
        <f t="shared" si="133"/>
        <v>542.4022490786183</v>
      </c>
      <c r="Z139" s="102">
        <f t="shared" si="133"/>
        <v>1170.7415531015906</v>
      </c>
      <c r="AA139" s="102">
        <f t="shared" si="133"/>
        <v>1203.382319386996</v>
      </c>
      <c r="AB139" s="102">
        <f t="shared" si="133"/>
        <v>1204.5568748387129</v>
      </c>
      <c r="AC139" s="102">
        <f t="shared" si="133"/>
        <v>1204.3449815005863</v>
      </c>
      <c r="AD139" s="102">
        <f t="shared" si="133"/>
        <v>1204.1228974262751</v>
      </c>
      <c r="AE139" s="102">
        <f t="shared" si="133"/>
        <v>1203.8901426450821</v>
      </c>
      <c r="AF139" s="102">
        <f t="shared" si="133"/>
        <v>1203.6461578559927</v>
      </c>
      <c r="AG139" s="102">
        <f t="shared" si="133"/>
        <v>1203.3904347340028</v>
      </c>
      <c r="AH139" s="102">
        <f t="shared" si="133"/>
        <v>1203.1223458050315</v>
      </c>
      <c r="AI139" s="102">
        <f t="shared" si="133"/>
        <v>1202.8413665047917</v>
      </c>
      <c r="AJ139" s="102">
        <f t="shared" si="133"/>
        <v>1202.5467580371612</v>
      </c>
      <c r="AK139" s="102">
        <f t="shared" si="133"/>
        <v>1202.2379147636725</v>
      </c>
      <c r="AL139" s="102">
        <f t="shared" si="133"/>
        <v>1201.9141352094696</v>
      </c>
      <c r="AM139" s="102">
        <f t="shared" si="133"/>
        <v>1201.5746334941682</v>
      </c>
      <c r="AN139" s="102">
        <f t="shared" si="133"/>
        <v>1201.2187035162838</v>
      </c>
      <c r="AO139" s="102">
        <f t="shared" si="133"/>
        <v>1200.8454857188096</v>
      </c>
      <c r="AP139" s="102">
        <f t="shared" si="133"/>
        <v>1199.0773924981536</v>
      </c>
      <c r="AQ139" s="102">
        <f t="shared" si="133"/>
        <v>1197.2902827513471</v>
      </c>
      <c r="AR139" s="102">
        <f t="shared" si="133"/>
        <v>1196.8599598676212</v>
      </c>
      <c r="AS139" s="102">
        <f t="shared" si="133"/>
        <v>1196.4086696701174</v>
      </c>
      <c r="AT139" s="102">
        <f t="shared" si="133"/>
        <v>1195.935406587314</v>
      </c>
      <c r="AU139" s="102">
        <f t="shared" si="133"/>
        <v>1193.1383401688677</v>
      </c>
      <c r="AV139" s="102">
        <f t="shared" si="133"/>
        <v>1181.9085666034762</v>
      </c>
      <c r="AW139" s="102">
        <f t="shared" si="133"/>
        <v>1123.680990382074</v>
      </c>
      <c r="AX139" s="102">
        <f t="shared" si="133"/>
        <v>811.21724360949861</v>
      </c>
      <c r="AY139" s="102">
        <f t="shared" si="133"/>
        <v>51.385367735029348</v>
      </c>
      <c r="AZ139" s="102">
        <f t="shared" si="133"/>
        <v>0</v>
      </c>
      <c r="BA139" s="102">
        <f t="shared" si="133"/>
        <v>0</v>
      </c>
      <c r="BB139" s="102">
        <f t="shared" si="133"/>
        <v>0</v>
      </c>
      <c r="BC139" s="102">
        <f t="shared" si="133"/>
        <v>0</v>
      </c>
      <c r="BD139" s="102">
        <f t="shared" si="133"/>
        <v>0</v>
      </c>
      <c r="BE139" s="102"/>
      <c r="BF139" s="102"/>
      <c r="BG139" s="102"/>
      <c r="BH139" s="102"/>
      <c r="BI139" s="102"/>
    </row>
  </sheetData>
  <pageMargins left="0.7" right="0.7" top="0.75" bottom="0.75" header="0.3" footer="0.3"/>
  <pageSetup paperSize="5" scale="3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7011bc-0a59-46e1-9004-ec215979dd0f" xsi:nil="true"/>
    <lcf76f155ced4ddcb4097134ff3c332f xmlns="2dfc16eb-708d-4ec9-8c01-531c9e22739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5AE1FFC98EB74286A4F6C25286592C" ma:contentTypeVersion="16" ma:contentTypeDescription="Create a new document." ma:contentTypeScope="" ma:versionID="f0d29d9c6508f4bb436612ed1a3bea1c">
  <xsd:schema xmlns:xsd="http://www.w3.org/2001/XMLSchema" xmlns:xs="http://www.w3.org/2001/XMLSchema" xmlns:p="http://schemas.microsoft.com/office/2006/metadata/properties" xmlns:ns2="2dfc16eb-708d-4ec9-8c01-531c9e227399" xmlns:ns3="857011bc-0a59-46e1-9004-ec215979dd0f" targetNamespace="http://schemas.microsoft.com/office/2006/metadata/properties" ma:root="true" ma:fieldsID="541e1aa713ccfb3245ab5772c056387b" ns2:_="" ns3:_="">
    <xsd:import namespace="2dfc16eb-708d-4ec9-8c01-531c9e227399"/>
    <xsd:import namespace="857011bc-0a59-46e1-9004-ec215979dd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c16eb-708d-4ec9-8c01-531c9e227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1d824f-8fcb-403c-8eb0-24d834084a5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7011bc-0a59-46e1-9004-ec215979dd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effb4d3-17c7-4c14-b09e-642657e6681f}" ma:internalName="TaxCatchAll" ma:showField="CatchAllData" ma:web="857011bc-0a59-46e1-9004-ec215979dd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2B435D-0B19-418A-96F1-6F7C49AAC800}">
  <ds:schemaRefs>
    <ds:schemaRef ds:uri="http://schemas.microsoft.com/office/infopath/2007/PartnerControls"/>
    <ds:schemaRef ds:uri="http://purl.org/dc/terms/"/>
    <ds:schemaRef ds:uri="2dfc16eb-708d-4ec9-8c01-531c9e227399"/>
    <ds:schemaRef ds:uri="http://schemas.microsoft.com/office/2006/documentManagement/types"/>
    <ds:schemaRef ds:uri="http://www.w3.org/XML/1998/namespace"/>
    <ds:schemaRef ds:uri="http://purl.org/dc/elements/1.1/"/>
    <ds:schemaRef ds:uri="857011bc-0a59-46e1-9004-ec215979dd0f"/>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6DF88A0-254A-4856-893D-770E86F7E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fc16eb-708d-4ec9-8c01-531c9e227399"/>
    <ds:schemaRef ds:uri="857011bc-0a59-46e1-9004-ec215979dd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74E72-B9D2-41D8-8E67-F5402449D9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Read me</vt:lpstr>
      <vt:lpstr>Tab 1 - Summary</vt:lpstr>
      <vt:lpstr>Tab 2 - Citywide</vt:lpstr>
      <vt:lpstr>capacity15</vt:lpstr>
      <vt:lpstr>capacity25</vt:lpstr>
      <vt:lpstr>Tab 3 - Catchment</vt:lpstr>
      <vt:lpstr>Tab 4 - Balance</vt:lpstr>
      <vt:lpstr>Tab 5 - Capital</vt:lpstr>
      <vt:lpstr>Tab 6 - Bow</vt:lpstr>
      <vt:lpstr>Tab 7 - Nose</vt:lpstr>
      <vt:lpstr>Tab 8 - Shepard</vt:lpstr>
      <vt:lpstr>Tab 9 - Fish</vt:lpstr>
      <vt:lpstr>Tab 10 - Pine</vt:lpstr>
      <vt:lpstr>Tab 11 - General</vt:lpstr>
      <vt:lpstr>Tab 12 - Land Absorption</vt:lpstr>
      <vt:lpstr>'Read me'!Print_Area</vt:lpstr>
      <vt:lpstr>'Tab 5 - Capital'!Print_Area</vt:lpstr>
      <vt:lpstr>'Tab 5 - Capital'!Print_Titles</vt:lpstr>
    </vt:vector>
  </TitlesOfParts>
  <Manager/>
  <Company>The City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City of Calgary</dc:creator>
  <cp:keywords/>
  <dc:description/>
  <cp:lastModifiedBy>Keast, Aric</cp:lastModifiedBy>
  <cp:revision/>
  <dcterms:created xsi:type="dcterms:W3CDTF">2014-03-20T20:50:15Z</dcterms:created>
  <dcterms:modified xsi:type="dcterms:W3CDTF">2023-10-05T20:42:33Z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0x010100315AE1FFC98EB74286A4F6C25286592C</vt:lpwstr>
  </property>
  <property fmtid="{D5CDD505-2E9C-101B-9397-08002B2CF9AE}" pid="3" name="MediaServiceImageTags">
    <vt:lpwstr/>
  </property>
</Properties>
</file>