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itchell\Desktop\"/>
    </mc:Choice>
  </mc:AlternateContent>
  <bookViews>
    <workbookView xWindow="0" yWindow="0" windowWidth="19200" windowHeight="6990"/>
  </bookViews>
  <sheets>
    <sheet name="LS3" sheetId="2" r:id="rId1"/>
    <sheet name="LS calc" sheetId="1" state="hidden" r:id="rId2"/>
    <sheet name="LS calc (lookup)" sheetId="6" state="hidden" r:id="rId3"/>
  </sheets>
  <definedNames>
    <definedName name="B_Fact">'LS calc'!$K$3:$L$5</definedName>
    <definedName name="County">#REF!</definedName>
    <definedName name="lamda_ps">'LS calc'!$C$6:$H$9</definedName>
    <definedName name="Land_Use">'LS calc'!$K$3:$K$5</definedName>
    <definedName name="_xlnm.Print_Area" localSheetId="1">'LS calc'!$A$2:$R$5</definedName>
    <definedName name="_xlnm.Print_Area" localSheetId="2">'LS calc (lookup)'!$A$1:$Q$24</definedName>
    <definedName name="_xlnm.Print_Titles" localSheetId="1">'LS calc'!$A:$I,'LS calc'!$2:$2</definedName>
    <definedName name="_xlnm.Print_Titles" localSheetId="2">'LS calc (lookup)'!$A:$H,'LS calc (lookup)'!$1:$3</definedName>
    <definedName name="RCK">#REF!</definedName>
  </definedNames>
  <calcPr calcId="171027"/>
</workbook>
</file>

<file path=xl/calcChain.xml><?xml version="1.0" encoding="utf-8"?>
<calcChain xmlns="http://schemas.openxmlformats.org/spreadsheetml/2006/main">
  <c r="B9" i="2" l="1"/>
  <c r="B11" i="2"/>
  <c r="A3" i="1" l="1"/>
  <c r="C3" i="1" s="1"/>
  <c r="G3" i="1"/>
  <c r="C4" i="6"/>
  <c r="D4" i="6"/>
  <c r="F4" i="6" s="1"/>
  <c r="L4" i="6"/>
  <c r="C5" i="6"/>
  <c r="D5" i="6"/>
  <c r="F5" i="6" s="1"/>
  <c r="C6" i="6"/>
  <c r="D6" i="6"/>
  <c r="F6" i="6" s="1"/>
  <c r="C7" i="6"/>
  <c r="D7" i="6"/>
  <c r="F7" i="6" s="1"/>
  <c r="L7" i="6"/>
  <c r="C8" i="6"/>
  <c r="D8" i="6"/>
  <c r="F8" i="6" s="1"/>
  <c r="C9" i="6"/>
  <c r="D9" i="6"/>
  <c r="F9" i="6" s="1"/>
  <c r="C10" i="6"/>
  <c r="D10" i="6"/>
  <c r="E10" i="6"/>
  <c r="G10" i="6" s="1"/>
  <c r="H10" i="6" s="1"/>
  <c r="F10" i="6"/>
  <c r="L10" i="6"/>
  <c r="C11" i="6"/>
  <c r="D11" i="6"/>
  <c r="E11" i="6" s="1"/>
  <c r="C12" i="6"/>
  <c r="D12" i="6"/>
  <c r="E12" i="6" s="1"/>
  <c r="C13" i="6"/>
  <c r="D13" i="6"/>
  <c r="E13" i="6" s="1"/>
  <c r="C14" i="6"/>
  <c r="D14" i="6"/>
  <c r="O14" i="6" s="1"/>
  <c r="F14" i="6"/>
  <c r="C15" i="6"/>
  <c r="D15" i="6"/>
  <c r="O15" i="6" s="1"/>
  <c r="J15" i="6"/>
  <c r="C16" i="6"/>
  <c r="D16" i="6"/>
  <c r="O16" i="6" s="1"/>
  <c r="C17" i="6"/>
  <c r="D17" i="6"/>
  <c r="F17" i="6" s="1"/>
  <c r="C18" i="6"/>
  <c r="D18" i="6"/>
  <c r="E18" i="6" s="1"/>
  <c r="O18" i="6"/>
  <c r="C19" i="6"/>
  <c r="D19" i="6"/>
  <c r="E19" i="6" s="1"/>
  <c r="K19" i="6"/>
  <c r="C20" i="6"/>
  <c r="D20" i="6"/>
  <c r="E20" i="6" s="1"/>
  <c r="J20" i="6"/>
  <c r="C21" i="6"/>
  <c r="D21" i="6"/>
  <c r="O21" i="6" s="1"/>
  <c r="J21" i="6"/>
  <c r="C22" i="6"/>
  <c r="D22" i="6"/>
  <c r="J22" i="6" s="1"/>
  <c r="C23" i="6"/>
  <c r="D23" i="6"/>
  <c r="E23" i="6" s="1"/>
  <c r="K22" i="6"/>
  <c r="K16" i="6"/>
  <c r="O10" i="6"/>
  <c r="K23" i="6" l="1"/>
  <c r="L5" i="6"/>
  <c r="O11" i="6"/>
  <c r="F23" i="6"/>
  <c r="G23" i="6" s="1"/>
  <c r="H23" i="6" s="1"/>
  <c r="O19" i="6"/>
  <c r="F13" i="6"/>
  <c r="G13" i="6" s="1"/>
  <c r="H13" i="6" s="1"/>
  <c r="L6" i="6"/>
  <c r="O23" i="6"/>
  <c r="E21" i="6"/>
  <c r="F19" i="6"/>
  <c r="G19" i="6" s="1"/>
  <c r="H19" i="6" s="1"/>
  <c r="F18" i="6"/>
  <c r="E15" i="6"/>
  <c r="L8" i="6"/>
  <c r="A5" i="1"/>
  <c r="K7" i="1" s="1"/>
  <c r="L11" i="6"/>
  <c r="K14" i="6"/>
  <c r="K20" i="6"/>
  <c r="F20" i="6"/>
  <c r="G20" i="6" s="1"/>
  <c r="H20" i="6" s="1"/>
  <c r="O20" i="6"/>
  <c r="G18" i="6"/>
  <c r="H18" i="6" s="1"/>
  <c r="N18" i="6" s="1"/>
  <c r="P18" i="6" s="1"/>
  <c r="J14" i="6"/>
  <c r="E14" i="6"/>
  <c r="G14" i="6" s="1"/>
  <c r="H14" i="6" s="1"/>
  <c r="I14" i="6" s="1"/>
  <c r="M14" i="6" s="1"/>
  <c r="F12" i="6"/>
  <c r="G12" i="6" s="1"/>
  <c r="H12" i="6" s="1"/>
  <c r="F11" i="6"/>
  <c r="G11" i="6" s="1"/>
  <c r="H11" i="6" s="1"/>
  <c r="O9" i="6"/>
  <c r="E8" i="6"/>
  <c r="G8" i="6" s="1"/>
  <c r="H8" i="6" s="1"/>
  <c r="E7" i="6"/>
  <c r="G7" i="6" s="1"/>
  <c r="H7" i="6" s="1"/>
  <c r="E6" i="6"/>
  <c r="E5" i="6"/>
  <c r="E4" i="6"/>
  <c r="G4" i="6" s="1"/>
  <c r="H4" i="6" s="1"/>
  <c r="B3" i="1"/>
  <c r="N10" i="6"/>
  <c r="P10" i="6" s="1"/>
  <c r="I10" i="6"/>
  <c r="M10" i="6" s="1"/>
  <c r="I18" i="6"/>
  <c r="N14" i="6"/>
  <c r="P14" i="6" s="1"/>
  <c r="G6" i="6"/>
  <c r="H6" i="6" s="1"/>
  <c r="G5" i="6"/>
  <c r="H5" i="6" s="1"/>
  <c r="O22" i="6"/>
  <c r="O17" i="6"/>
  <c r="F16" i="6"/>
  <c r="O13" i="6"/>
  <c r="E22" i="6"/>
  <c r="K21" i="6"/>
  <c r="F21" i="6"/>
  <c r="G21" i="6" s="1"/>
  <c r="H21" i="6" s="1"/>
  <c r="J17" i="6"/>
  <c r="E17" i="6"/>
  <c r="G17" i="6" s="1"/>
  <c r="H17" i="6" s="1"/>
  <c r="J16" i="6"/>
  <c r="E16" i="6"/>
  <c r="G16" i="6" s="1"/>
  <c r="H16" i="6" s="1"/>
  <c r="K15" i="6"/>
  <c r="F15" i="6"/>
  <c r="G15" i="6" s="1"/>
  <c r="H15" i="6" s="1"/>
  <c r="L13" i="6"/>
  <c r="L9" i="6"/>
  <c r="E9" i="6"/>
  <c r="G9" i="6" s="1"/>
  <c r="H9" i="6" s="1"/>
  <c r="O8" i="6"/>
  <c r="O7" i="6"/>
  <c r="O6" i="6"/>
  <c r="O5" i="6"/>
  <c r="O4" i="6"/>
  <c r="O12" i="6"/>
  <c r="K18" i="6"/>
  <c r="F22" i="6"/>
  <c r="J23" i="6"/>
  <c r="J19" i="6"/>
  <c r="J18" i="6"/>
  <c r="K17" i="6"/>
  <c r="L12" i="6"/>
  <c r="D3" i="1"/>
  <c r="G8" i="1"/>
  <c r="E9" i="1"/>
  <c r="F9" i="1"/>
  <c r="G6" i="1"/>
  <c r="E3" i="1"/>
  <c r="G7" i="1"/>
  <c r="N19" i="6" l="1"/>
  <c r="P19" i="6" s="1"/>
  <c r="I19" i="6"/>
  <c r="N13" i="6"/>
  <c r="I13" i="6"/>
  <c r="I23" i="6"/>
  <c r="M23" i="6" s="1"/>
  <c r="N23" i="6"/>
  <c r="P23" i="6" s="1"/>
  <c r="C5" i="1"/>
  <c r="K9" i="1"/>
  <c r="K6" i="1"/>
  <c r="K8" i="1"/>
  <c r="I12" i="6"/>
  <c r="N12" i="6"/>
  <c r="I20" i="6"/>
  <c r="M20" i="6" s="1"/>
  <c r="N20" i="6"/>
  <c r="P20" i="6" s="1"/>
  <c r="N11" i="6"/>
  <c r="P11" i="6" s="1"/>
  <c r="I11" i="6"/>
  <c r="M11" i="6" s="1"/>
  <c r="G22" i="6"/>
  <c r="H22" i="6" s="1"/>
  <c r="I22" i="6" s="1"/>
  <c r="M22" i="6" s="1"/>
  <c r="M19" i="6"/>
  <c r="I21" i="6"/>
  <c r="M21" i="6" s="1"/>
  <c r="N21" i="6"/>
  <c r="P21" i="6" s="1"/>
  <c r="N15" i="6"/>
  <c r="P15" i="6" s="1"/>
  <c r="I15" i="6"/>
  <c r="M15" i="6" s="1"/>
  <c r="N8" i="6"/>
  <c r="P8" i="6" s="1"/>
  <c r="I8" i="6"/>
  <c r="M8" i="6" s="1"/>
  <c r="N9" i="6"/>
  <c r="P9" i="6" s="1"/>
  <c r="I9" i="6"/>
  <c r="M9" i="6" s="1"/>
  <c r="N5" i="6"/>
  <c r="P5" i="6" s="1"/>
  <c r="I5" i="6"/>
  <c r="M5" i="6" s="1"/>
  <c r="N17" i="6"/>
  <c r="P17" i="6" s="1"/>
  <c r="I17" i="6"/>
  <c r="M17" i="6" s="1"/>
  <c r="N4" i="6"/>
  <c r="P4" i="6" s="1"/>
  <c r="I4" i="6"/>
  <c r="M4" i="6" s="1"/>
  <c r="N7" i="6"/>
  <c r="P7" i="6" s="1"/>
  <c r="I7" i="6"/>
  <c r="M7" i="6" s="1"/>
  <c r="M12" i="6"/>
  <c r="P13" i="6"/>
  <c r="N16" i="6"/>
  <c r="P16" i="6" s="1"/>
  <c r="I16" i="6"/>
  <c r="M16" i="6" s="1"/>
  <c r="N6" i="6"/>
  <c r="P6" i="6" s="1"/>
  <c r="I6" i="6"/>
  <c r="M6" i="6" s="1"/>
  <c r="P12" i="6"/>
  <c r="M13" i="6"/>
  <c r="M18" i="6"/>
  <c r="F3" i="1"/>
  <c r="H3" i="1" s="1"/>
  <c r="I3" i="1" s="1"/>
  <c r="N22" i="6" l="1"/>
  <c r="P22" i="6" s="1"/>
  <c r="D6" i="1"/>
  <c r="H6" i="1" s="1"/>
  <c r="B13" i="2" s="1"/>
  <c r="D9" i="1"/>
  <c r="H9" i="1" s="1"/>
  <c r="D7" i="1"/>
  <c r="H7" i="1" s="1"/>
  <c r="D8" i="1"/>
  <c r="H8" i="1" s="1"/>
  <c r="B5" i="2" l="1"/>
</calcChain>
</file>

<file path=xl/comments1.xml><?xml version="1.0" encoding="utf-8"?>
<comments xmlns="http://schemas.openxmlformats.org/spreadsheetml/2006/main">
  <authors>
    <author>emohring</author>
  </authors>
  <commentList>
    <comment ref="B7" authorId="0" shapeId="0">
      <text>
        <r>
          <rPr>
            <b/>
            <sz val="8"/>
            <color indexed="81"/>
            <rFont val="Tahoma"/>
          </rPr>
          <t>select from drop-down list</t>
        </r>
        <r>
          <rPr>
            <sz val="8"/>
            <color indexed="81"/>
            <rFont val="Tahoma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</rPr>
          <t>Input</t>
        </r>
        <r>
          <rPr>
            <sz val="8"/>
            <color indexed="81"/>
            <rFont val="Tahoma"/>
          </rPr>
          <t xml:space="preserve">
</t>
        </r>
      </text>
    </comment>
    <comment ref="B11" authorId="0" shapeId="0">
      <text>
        <r>
          <rPr>
            <b/>
            <sz val="8"/>
            <color indexed="81"/>
            <rFont val="Tahoma"/>
          </rPr>
          <t>Input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<sst xmlns="http://schemas.openxmlformats.org/spreadsheetml/2006/main" count="66" uniqueCount="43">
  <si>
    <t>q</t>
  </si>
  <si>
    <t>b</t>
  </si>
  <si>
    <t>m</t>
  </si>
  <si>
    <t>ps&gt;9</t>
  </si>
  <si>
    <t>ps&lt;9</t>
  </si>
  <si>
    <t>L</t>
  </si>
  <si>
    <t>S</t>
  </si>
  <si>
    <t>LS</t>
  </si>
  <si>
    <r>
      <t>SIN</t>
    </r>
    <r>
      <rPr>
        <b/>
        <sz val="10"/>
        <rFont val="Symbol"/>
        <family val="1"/>
        <charset val="2"/>
      </rPr>
      <t>q</t>
    </r>
    <r>
      <rPr>
        <b/>
        <sz val="10"/>
        <rFont val="Arial"/>
        <family val="2"/>
      </rPr>
      <t>/</t>
    </r>
    <r>
      <rPr>
        <b/>
        <sz val="10"/>
        <rFont val="Arial Narrow"/>
        <family val="2"/>
      </rPr>
      <t>0.0896</t>
    </r>
  </si>
  <si>
    <t>l =</t>
  </si>
  <si>
    <t>slope (degrees)</t>
  </si>
  <si>
    <t>slope (rad)</t>
  </si>
  <si>
    <t>ps</t>
  </si>
  <si>
    <t>l&gt;15</t>
  </si>
  <si>
    <t>3&lt;l&lt;15</t>
  </si>
  <si>
    <r>
      <t>3sin</t>
    </r>
    <r>
      <rPr>
        <b/>
        <sz val="10"/>
        <rFont val="Symbol"/>
        <family val="1"/>
        <charset val="2"/>
      </rPr>
      <t>q</t>
    </r>
    <r>
      <rPr>
        <b/>
        <vertAlign val="superscript"/>
        <sz val="10"/>
        <rFont val="Symbol"/>
        <family val="1"/>
        <charset val="2"/>
      </rPr>
      <t>0</t>
    </r>
    <r>
      <rPr>
        <b/>
        <vertAlign val="superscript"/>
        <sz val="10"/>
        <rFont val="Arial Narrow"/>
        <family val="2"/>
      </rPr>
      <t>.8</t>
    </r>
    <r>
      <rPr>
        <b/>
        <sz val="10"/>
        <rFont val="Arial Narrow"/>
        <family val="2"/>
      </rPr>
      <t xml:space="preserve"> + .56</t>
    </r>
  </si>
  <si>
    <t>(enter slope length in gray box)</t>
  </si>
  <si>
    <t>% slope</t>
  </si>
  <si>
    <t>LS Calculator for Cropped Agricultural Land (Table 2)</t>
  </si>
  <si>
    <t>Land Use</t>
  </si>
  <si>
    <t>Slope Length &amp; Steepness (LS)</t>
  </si>
  <si>
    <r>
      <t>Slope Length</t>
    </r>
    <r>
      <rPr>
        <sz val="10"/>
        <rFont val="Arial"/>
      </rPr>
      <t xml:space="preserve"> (</t>
    </r>
    <r>
      <rPr>
        <sz val="10"/>
        <rFont val="Symbol"/>
        <family val="1"/>
        <charset val="2"/>
      </rPr>
      <t xml:space="preserve">l) </t>
    </r>
    <r>
      <rPr>
        <sz val="10"/>
        <rFont val="Arial"/>
      </rPr>
      <t>(feet)</t>
    </r>
  </si>
  <si>
    <t>Percent Slope (ps)</t>
  </si>
  <si>
    <t>Pasture &amp; Rangeland</t>
  </si>
  <si>
    <t>Cropped Agricultural Land</t>
  </si>
  <si>
    <t>Construction &amp; Highly Disturbed</t>
  </si>
  <si>
    <r>
      <t xml:space="preserve">q </t>
    </r>
    <r>
      <rPr>
        <b/>
        <sz val="10"/>
        <rFont val="Arial"/>
        <family val="2"/>
      </rPr>
      <t>(deg)</t>
    </r>
  </si>
  <si>
    <r>
      <t>q</t>
    </r>
    <r>
      <rPr>
        <b/>
        <sz val="10"/>
        <rFont val="Arial"/>
        <family val="2"/>
      </rPr>
      <t xml:space="preserve"> (rad)</t>
    </r>
  </si>
  <si>
    <r>
      <t>b</t>
    </r>
    <r>
      <rPr>
        <sz val="10"/>
        <rFont val="Arial"/>
        <family val="2"/>
      </rPr>
      <t xml:space="preserve"> Factor</t>
    </r>
  </si>
  <si>
    <t>b0</t>
  </si>
  <si>
    <t>λ ≥ 15 ft</t>
  </si>
  <si>
    <t>3ft ≤λ&lt; 15 ft</t>
  </si>
  <si>
    <t>ps &lt; 9%</t>
  </si>
  <si>
    <t>ps ≥ 9%</t>
  </si>
  <si>
    <r>
      <t>S</t>
    </r>
    <r>
      <rPr>
        <b/>
        <vertAlign val="subscript"/>
        <sz val="10"/>
        <rFont val="Arial"/>
        <family val="2"/>
      </rPr>
      <t>3</t>
    </r>
  </si>
  <si>
    <r>
      <t>S</t>
    </r>
    <r>
      <rPr>
        <b/>
        <vertAlign val="subscript"/>
        <sz val="10"/>
        <rFont val="Arial"/>
        <family val="2"/>
      </rPr>
      <t>15</t>
    </r>
  </si>
  <si>
    <t>λ</t>
  </si>
  <si>
    <t>λ - ps category</t>
  </si>
  <si>
    <t>LS3 Calculator</t>
  </si>
  <si>
    <t>% Slope</t>
  </si>
  <si>
    <t>LS Value</t>
  </si>
  <si>
    <t>Slope Length (m)</t>
  </si>
  <si>
    <t>Enter the slope length in meters and the percent slope to obtain the LS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</si>
</sst>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2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Symbol"/>
      <family val="1"/>
      <charset val="2"/>
    </font>
    <font>
      <b/>
      <sz val="10"/>
      <name val="Symbol"/>
      <family val="1"/>
      <charset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Symbol"/>
      <family val="1"/>
      <charset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sz val="10"/>
      <name val="Arial"/>
    </font>
    <font>
      <sz val="10"/>
      <name val="Arial Black"/>
      <family val="2"/>
    </font>
    <font>
      <sz val="10"/>
      <name val="Symbol"/>
      <family val="1"/>
      <charset val="2"/>
    </font>
    <font>
      <b/>
      <sz val="10"/>
      <name val="Arial Black"/>
      <family val="2"/>
    </font>
    <font>
      <b/>
      <vertAlign val="subscript"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36"/>
      <name val="Arial Black"/>
      <family val="2"/>
    </font>
    <font>
      <sz val="36"/>
      <name val="Arial"/>
      <family val="2"/>
    </font>
    <font>
      <b/>
      <sz val="36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1" fillId="0" borderId="2" xfId="0" applyFont="1" applyBorder="1"/>
    <xf numFmtId="0" fontId="6" fillId="0" borderId="2" xfId="0" applyFont="1" applyBorder="1"/>
    <xf numFmtId="0" fontId="0" fillId="0" borderId="2" xfId="0" applyBorder="1"/>
    <xf numFmtId="0" fontId="7" fillId="0" borderId="2" xfId="0" applyFont="1" applyBorder="1"/>
    <xf numFmtId="0" fontId="7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3" xfId="0" applyFont="1" applyBorder="1"/>
    <xf numFmtId="0" fontId="6" fillId="0" borderId="5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8" fillId="0" borderId="0" xfId="0" applyFont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64" fontId="3" fillId="0" borderId="0" xfId="0" applyNumberFormat="1" applyFont="1"/>
    <xf numFmtId="164" fontId="3" fillId="0" borderId="2" xfId="0" applyNumberFormat="1" applyFont="1" applyBorder="1"/>
    <xf numFmtId="164" fontId="8" fillId="0" borderId="0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2" fontId="2" fillId="0" borderId="3" xfId="0" applyNumberFormat="1" applyFont="1" applyBorder="1"/>
    <xf numFmtId="2" fontId="1" fillId="0" borderId="0" xfId="0" applyNumberFormat="1" applyFont="1"/>
    <xf numFmtId="2" fontId="2" fillId="0" borderId="0" xfId="0" applyNumberFormat="1" applyFont="1" applyBorder="1"/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8" xfId="0" applyBorder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2" fontId="1" fillId="0" borderId="0" xfId="0" applyNumberFormat="1" applyFont="1" applyBorder="1"/>
    <xf numFmtId="165" fontId="1" fillId="0" borderId="0" xfId="0" applyNumberFormat="1" applyFont="1"/>
    <xf numFmtId="165" fontId="6" fillId="0" borderId="0" xfId="0" applyNumberFormat="1" applyFont="1"/>
    <xf numFmtId="165" fontId="1" fillId="0" borderId="0" xfId="0" applyNumberFormat="1" applyFont="1" applyBorder="1"/>
    <xf numFmtId="165" fontId="6" fillId="0" borderId="0" xfId="0" applyNumberFormat="1" applyFont="1" applyBorder="1"/>
    <xf numFmtId="0" fontId="3" fillId="0" borderId="10" xfId="0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165" fontId="9" fillId="0" borderId="6" xfId="0" applyNumberFormat="1" applyFont="1" applyBorder="1"/>
    <xf numFmtId="165" fontId="9" fillId="0" borderId="6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164" fontId="3" fillId="0" borderId="9" xfId="0" applyNumberFormat="1" applyFont="1" applyBorder="1"/>
    <xf numFmtId="165" fontId="6" fillId="0" borderId="1" xfId="0" applyNumberFormat="1" applyFont="1" applyBorder="1"/>
    <xf numFmtId="165" fontId="6" fillId="0" borderId="4" xfId="0" applyNumberFormat="1" applyFont="1" applyBorder="1"/>
    <xf numFmtId="1" fontId="6" fillId="0" borderId="0" xfId="0" applyNumberFormat="1" applyFont="1"/>
    <xf numFmtId="2" fontId="6" fillId="0" borderId="0" xfId="0" applyNumberFormat="1" applyFont="1"/>
    <xf numFmtId="0" fontId="5" fillId="0" borderId="0" xfId="0" applyFont="1"/>
    <xf numFmtId="165" fontId="5" fillId="0" borderId="0" xfId="0" applyNumberFormat="1" applyFont="1"/>
    <xf numFmtId="2" fontId="5" fillId="0" borderId="14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2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0" xfId="0" applyNumberFormat="1" applyFont="1" applyBorder="1"/>
    <xf numFmtId="2" fontId="2" fillId="0" borderId="5" xfId="0" applyNumberFormat="1" applyFont="1" applyFill="1" applyBorder="1"/>
    <xf numFmtId="2" fontId="2" fillId="0" borderId="3" xfId="0" applyNumberFormat="1" applyFont="1" applyFill="1" applyBorder="1"/>
    <xf numFmtId="165" fontId="3" fillId="0" borderId="0" xfId="0" applyNumberFormat="1" applyFont="1" applyAlignment="1">
      <alignment wrapText="1"/>
    </xf>
    <xf numFmtId="165" fontId="6" fillId="0" borderId="3" xfId="0" applyNumberFormat="1" applyFont="1" applyBorder="1"/>
    <xf numFmtId="165" fontId="3" fillId="0" borderId="4" xfId="0" applyNumberFormat="1" applyFont="1" applyBorder="1" applyAlignment="1">
      <alignment wrapText="1"/>
    </xf>
    <xf numFmtId="2" fontId="12" fillId="0" borderId="0" xfId="0" applyNumberFormat="1" applyFont="1" applyFill="1"/>
    <xf numFmtId="0" fontId="3" fillId="0" borderId="15" xfId="0" applyFont="1" applyBorder="1" applyAlignment="1">
      <alignment horizontal="right"/>
    </xf>
    <xf numFmtId="165" fontId="1" fillId="0" borderId="8" xfId="0" applyNumberFormat="1" applyFont="1" applyBorder="1"/>
    <xf numFmtId="164" fontId="6" fillId="0" borderId="16" xfId="0" applyNumberFormat="1" applyFont="1" applyBorder="1"/>
    <xf numFmtId="1" fontId="3" fillId="0" borderId="3" xfId="0" applyNumberFormat="1" applyFont="1" applyBorder="1"/>
    <xf numFmtId="0" fontId="6" fillId="0" borderId="10" xfId="0" applyFont="1" applyBorder="1"/>
    <xf numFmtId="0" fontId="6" fillId="0" borderId="6" xfId="0" applyFont="1" applyBorder="1"/>
    <xf numFmtId="1" fontId="6" fillId="0" borderId="6" xfId="0" applyNumberFormat="1" applyFont="1" applyBorder="1"/>
    <xf numFmtId="165" fontId="1" fillId="0" borderId="6" xfId="0" applyNumberFormat="1" applyFont="1" applyBorder="1"/>
    <xf numFmtId="2" fontId="1" fillId="0" borderId="6" xfId="0" applyNumberFormat="1" applyFont="1" applyBorder="1"/>
    <xf numFmtId="1" fontId="1" fillId="0" borderId="7" xfId="0" applyNumberFormat="1" applyFont="1" applyBorder="1"/>
    <xf numFmtId="0" fontId="6" fillId="0" borderId="8" xfId="0" applyFont="1" applyBorder="1"/>
    <xf numFmtId="0" fontId="6" fillId="0" borderId="0" xfId="0" applyFont="1" applyBorder="1"/>
    <xf numFmtId="1" fontId="6" fillId="0" borderId="0" xfId="0" applyNumberFormat="1" applyFont="1" applyBorder="1"/>
    <xf numFmtId="1" fontId="1" fillId="0" borderId="3" xfId="0" quotePrefix="1" applyNumberFormat="1" applyFont="1" applyBorder="1"/>
    <xf numFmtId="0" fontId="6" fillId="0" borderId="9" xfId="0" applyFont="1" applyBorder="1"/>
    <xf numFmtId="0" fontId="6" fillId="0" borderId="1" xfId="0" applyFont="1" applyBorder="1"/>
    <xf numFmtId="1" fontId="6" fillId="0" borderId="1" xfId="0" applyNumberFormat="1" applyFont="1" applyBorder="1"/>
    <xf numFmtId="165" fontId="1" fillId="0" borderId="1" xfId="0" applyNumberFormat="1" applyFont="1" applyBorder="1"/>
    <xf numFmtId="2" fontId="1" fillId="0" borderId="1" xfId="0" applyNumberFormat="1" applyFont="1" applyBorder="1"/>
    <xf numFmtId="1" fontId="1" fillId="0" borderId="4" xfId="0" quotePrefix="1" applyNumberFormat="1" applyFont="1" applyBorder="1"/>
    <xf numFmtId="2" fontId="3" fillId="0" borderId="10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2" fontId="3" fillId="0" borderId="7" xfId="0" applyNumberFormat="1" applyFont="1" applyBorder="1" applyAlignment="1">
      <alignment wrapText="1"/>
    </xf>
    <xf numFmtId="165" fontId="3" fillId="0" borderId="1" xfId="0" applyNumberFormat="1" applyFont="1" applyBorder="1"/>
    <xf numFmtId="2" fontId="12" fillId="0" borderId="2" xfId="0" applyNumberFormat="1" applyFont="1" applyFill="1" applyBorder="1"/>
    <xf numFmtId="2" fontId="12" fillId="0" borderId="0" xfId="0" applyNumberFormat="1" applyFont="1" applyFill="1" applyBorder="1"/>
    <xf numFmtId="0" fontId="16" fillId="2" borderId="18" xfId="0" applyFont="1" applyFill="1" applyBorder="1" applyAlignment="1" applyProtection="1">
      <alignment horizontal="center" wrapText="1"/>
      <protection locked="0"/>
    </xf>
    <xf numFmtId="2" fontId="6" fillId="0" borderId="0" xfId="0" applyNumberFormat="1" applyFont="1" applyFill="1"/>
    <xf numFmtId="2" fontId="3" fillId="0" borderId="3" xfId="0" applyNumberFormat="1" applyFont="1" applyFill="1" applyBorder="1"/>
    <xf numFmtId="2" fontId="6" fillId="0" borderId="19" xfId="0" applyNumberFormat="1" applyFont="1" applyFill="1" applyBorder="1"/>
    <xf numFmtId="2" fontId="6" fillId="0" borderId="2" xfId="0" applyNumberFormat="1" applyFont="1" applyFill="1" applyBorder="1"/>
    <xf numFmtId="2" fontId="3" fillId="0" borderId="5" xfId="0" applyNumberFormat="1" applyFont="1" applyFill="1" applyBorder="1"/>
    <xf numFmtId="2" fontId="6" fillId="0" borderId="0" xfId="0" applyNumberFormat="1" applyFont="1" applyFill="1" applyBorder="1"/>
    <xf numFmtId="1" fontId="16" fillId="2" borderId="17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Border="1"/>
    <xf numFmtId="2" fontId="3" fillId="0" borderId="2" xfId="0" applyNumberFormat="1" applyFont="1" applyFill="1" applyBorder="1"/>
    <xf numFmtId="2" fontId="3" fillId="0" borderId="0" xfId="0" applyNumberFormat="1" applyFont="1" applyFill="1" applyBorder="1"/>
    <xf numFmtId="0" fontId="0" fillId="4" borderId="0" xfId="0" applyFill="1" applyBorder="1"/>
    <xf numFmtId="0" fontId="0" fillId="5" borderId="0" xfId="0" applyFill="1" applyBorder="1"/>
    <xf numFmtId="2" fontId="3" fillId="5" borderId="11" xfId="0" applyNumberFormat="1" applyFont="1" applyFill="1" applyBorder="1"/>
    <xf numFmtId="0" fontId="0" fillId="5" borderId="8" xfId="0" applyFill="1" applyBorder="1"/>
    <xf numFmtId="0" fontId="0" fillId="5" borderId="11" xfId="0" applyFill="1" applyBorder="1" applyProtection="1">
      <protection locked="0"/>
    </xf>
    <xf numFmtId="165" fontId="0" fillId="5" borderId="0" xfId="0" applyNumberFormat="1" applyFill="1" applyBorder="1"/>
    <xf numFmtId="0" fontId="0" fillId="5" borderId="9" xfId="0" applyFill="1" applyBorder="1"/>
    <xf numFmtId="0" fontId="0" fillId="5" borderId="1" xfId="0" applyFill="1" applyBorder="1"/>
    <xf numFmtId="0" fontId="14" fillId="4" borderId="0" xfId="0" applyFont="1" applyFill="1" applyBorder="1" applyAlignment="1">
      <alignment vertical="top"/>
    </xf>
    <xf numFmtId="0" fontId="20" fillId="6" borderId="22" xfId="0" applyFont="1" applyFill="1" applyBorder="1" applyAlignment="1">
      <alignment vertical="top"/>
    </xf>
    <xf numFmtId="0" fontId="20" fillId="6" borderId="24" xfId="0" applyFont="1" applyFill="1" applyBorder="1" applyAlignment="1">
      <alignment vertical="top"/>
    </xf>
    <xf numFmtId="0" fontId="20" fillId="6" borderId="25" xfId="0" applyFont="1" applyFill="1" applyBorder="1" applyAlignment="1">
      <alignment vertical="top"/>
    </xf>
    <xf numFmtId="2" fontId="22" fillId="7" borderId="20" xfId="0" applyNumberFormat="1" applyFont="1" applyFill="1" applyBorder="1"/>
    <xf numFmtId="0" fontId="0" fillId="5" borderId="0" xfId="0" applyFill="1"/>
    <xf numFmtId="0" fontId="21" fillId="5" borderId="23" xfId="0" applyFont="1" applyFill="1" applyBorder="1" applyProtection="1">
      <protection locked="0"/>
    </xf>
    <xf numFmtId="0" fontId="21" fillId="5" borderId="26" xfId="0" applyFont="1" applyFill="1" applyBorder="1" applyProtection="1">
      <protection locked="0"/>
    </xf>
    <xf numFmtId="0" fontId="23" fillId="5" borderId="0" xfId="0" applyFont="1" applyFill="1"/>
    <xf numFmtId="0" fontId="20" fillId="3" borderId="0" xfId="0" applyFont="1" applyFill="1" applyBorder="1" applyAlignment="1">
      <alignment horizontal="center"/>
    </xf>
    <xf numFmtId="165" fontId="6" fillId="0" borderId="10" xfId="0" applyNumberFormat="1" applyFont="1" applyBorder="1" applyAlignment="1"/>
    <xf numFmtId="0" fontId="0" fillId="0" borderId="7" xfId="0" applyBorder="1" applyAlignment="1"/>
    <xf numFmtId="0" fontId="9" fillId="0" borderId="21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13</xdr:row>
      <xdr:rowOff>30480</xdr:rowOff>
    </xdr:from>
    <xdr:to>
      <xdr:col>0</xdr:col>
      <xdr:colOff>129540</xdr:colOff>
      <xdr:row>17</xdr:row>
      <xdr:rowOff>182880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>
          <a:spLocks noChangeShapeType="1"/>
        </xdr:cNvSpPr>
      </xdr:nvSpPr>
      <xdr:spPr bwMode="auto">
        <a:xfrm flipV="1">
          <a:off x="129540" y="2987040"/>
          <a:ext cx="0" cy="944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114300</xdr:colOff>
      <xdr:row>19</xdr:row>
      <xdr:rowOff>0</xdr:rowOff>
    </xdr:from>
    <xdr:to>
      <xdr:col>0</xdr:col>
      <xdr:colOff>114300</xdr:colOff>
      <xdr:row>22</xdr:row>
      <xdr:rowOff>190500</xdr:rowOff>
    </xdr:to>
    <xdr:sp macro="" textlink="">
      <xdr:nvSpPr>
        <xdr:cNvPr id="4154" name="Line 2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>
          <a:spLocks noChangeShapeType="1"/>
        </xdr:cNvSpPr>
      </xdr:nvSpPr>
      <xdr:spPr bwMode="auto">
        <a:xfrm>
          <a:off x="114300" y="4145280"/>
          <a:ext cx="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144780</xdr:colOff>
      <xdr:row>3</xdr:row>
      <xdr:rowOff>0</xdr:rowOff>
    </xdr:from>
    <xdr:to>
      <xdr:col>0</xdr:col>
      <xdr:colOff>144780</xdr:colOff>
      <xdr:row>7</xdr:row>
      <xdr:rowOff>190500</xdr:rowOff>
    </xdr:to>
    <xdr:sp macro="" textlink="">
      <xdr:nvSpPr>
        <xdr:cNvPr id="4155" name="Line 3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>
          <a:spLocks noChangeShapeType="1"/>
        </xdr:cNvSpPr>
      </xdr:nvSpPr>
      <xdr:spPr bwMode="auto">
        <a:xfrm flipV="1">
          <a:off x="144780" y="967740"/>
          <a:ext cx="0" cy="982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144780</xdr:colOff>
      <xdr:row>9</xdr:row>
      <xdr:rowOff>7620</xdr:rowOff>
    </xdr:from>
    <xdr:to>
      <xdr:col>0</xdr:col>
      <xdr:colOff>144780</xdr:colOff>
      <xdr:row>12</xdr:row>
      <xdr:rowOff>129540</xdr:rowOff>
    </xdr:to>
    <xdr:sp macro="" textlink="">
      <xdr:nvSpPr>
        <xdr:cNvPr id="4156" name="Line 4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>
          <a:spLocks noChangeShapeType="1"/>
        </xdr:cNvSpPr>
      </xdr:nvSpPr>
      <xdr:spPr bwMode="auto">
        <a:xfrm>
          <a:off x="144780" y="2164080"/>
          <a:ext cx="0" cy="7162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33"/>
  <sheetViews>
    <sheetView tabSelected="1" workbookViewId="0">
      <selection activeCell="B5" sqref="B5"/>
    </sheetView>
  </sheetViews>
  <sheetFormatPr defaultRowHeight="12.5" x14ac:dyDescent="0.25"/>
  <cols>
    <col min="1" max="1" width="68.54296875" customWidth="1"/>
    <col min="2" max="2" width="40.453125" customWidth="1"/>
    <col min="3" max="13" width="9.1796875" style="122"/>
  </cols>
  <sheetData>
    <row r="1" spans="1:2" ht="51.75" customHeight="1" x14ac:dyDescent="1.5">
      <c r="A1" s="126" t="s">
        <v>38</v>
      </c>
      <c r="B1" s="126"/>
    </row>
    <row r="2" spans="1:2" ht="5.25" customHeight="1" thickBot="1" x14ac:dyDescent="0.3">
      <c r="A2" s="117"/>
      <c r="B2" s="109"/>
    </row>
    <row r="3" spans="1:2" ht="85.5" customHeight="1" x14ac:dyDescent="0.85">
      <c r="A3" s="118" t="s">
        <v>41</v>
      </c>
      <c r="B3" s="123">
        <v>40</v>
      </c>
    </row>
    <row r="4" spans="1:2" ht="85.5" customHeight="1" thickBot="1" x14ac:dyDescent="0.9">
      <c r="A4" s="119" t="s">
        <v>39</v>
      </c>
      <c r="B4" s="124">
        <v>3.8</v>
      </c>
    </row>
    <row r="5" spans="1:2" ht="85.5" customHeight="1" thickBot="1" x14ac:dyDescent="0.95">
      <c r="A5" s="120" t="s">
        <v>40</v>
      </c>
      <c r="B5" s="121">
        <f>B13</f>
        <v>0.59912966807843437</v>
      </c>
    </row>
    <row r="6" spans="1:2" ht="20.25" hidden="1" customHeight="1" x14ac:dyDescent="0.25">
      <c r="A6" s="112"/>
      <c r="B6" s="110"/>
    </row>
    <row r="7" spans="1:2" ht="15" hidden="1" customHeight="1" x14ac:dyDescent="0.25">
      <c r="A7" s="112" t="s">
        <v>19</v>
      </c>
      <c r="B7" s="113" t="s">
        <v>25</v>
      </c>
    </row>
    <row r="8" spans="1:2" ht="15" hidden="1" customHeight="1" x14ac:dyDescent="0.25">
      <c r="A8" s="112"/>
      <c r="B8" s="110"/>
    </row>
    <row r="9" spans="1:2" ht="15" hidden="1" customHeight="1" x14ac:dyDescent="0.25">
      <c r="A9" s="112" t="s">
        <v>22</v>
      </c>
      <c r="B9" s="113">
        <f>B4</f>
        <v>3.8</v>
      </c>
    </row>
    <row r="10" spans="1:2" ht="18.75" hidden="1" customHeight="1" thickBot="1" x14ac:dyDescent="0.3">
      <c r="A10" s="112"/>
      <c r="B10" s="110"/>
    </row>
    <row r="11" spans="1:2" ht="19.5" hidden="1" customHeight="1" x14ac:dyDescent="0.25">
      <c r="A11" s="112" t="s">
        <v>21</v>
      </c>
      <c r="B11" s="113">
        <f>B3*3.2808399</f>
        <v>131.23359600000001</v>
      </c>
    </row>
    <row r="12" spans="1:2" ht="15" hidden="1" customHeight="1" x14ac:dyDescent="0.25">
      <c r="A12" s="112"/>
      <c r="B12" s="114"/>
    </row>
    <row r="13" spans="1:2" ht="15" hidden="1" customHeight="1" x14ac:dyDescent="0.3">
      <c r="A13" s="112" t="s">
        <v>20</v>
      </c>
      <c r="B13" s="111">
        <f>VLOOKUP('LS calc'!$C$5,lamda_ps,6,FALSE)</f>
        <v>0.59912966807843437</v>
      </c>
    </row>
    <row r="14" spans="1:2" ht="15" hidden="1" customHeight="1" x14ac:dyDescent="0.25">
      <c r="A14" s="115"/>
      <c r="B14" s="116"/>
    </row>
    <row r="15" spans="1:2" ht="18.75" hidden="1" customHeight="1" thickBot="1" x14ac:dyDescent="0.3"/>
    <row r="16" spans="1:2" ht="19.5" hidden="1" customHeight="1" x14ac:dyDescent="0.25"/>
    <row r="17" spans="1:1" s="122" customFormat="1" ht="20" x14ac:dyDescent="0.4">
      <c r="A17" s="125" t="s">
        <v>42</v>
      </c>
    </row>
    <row r="18" spans="1:1" s="122" customFormat="1" x14ac:dyDescent="0.25"/>
    <row r="19" spans="1:1" s="122" customFormat="1" x14ac:dyDescent="0.25"/>
    <row r="20" spans="1:1" s="122" customFormat="1" x14ac:dyDescent="0.25"/>
    <row r="21" spans="1:1" s="122" customFormat="1" x14ac:dyDescent="0.25"/>
    <row r="22" spans="1:1" s="122" customFormat="1" x14ac:dyDescent="0.25"/>
    <row r="23" spans="1:1" s="122" customFormat="1" x14ac:dyDescent="0.25"/>
    <row r="24" spans="1:1" s="122" customFormat="1" x14ac:dyDescent="0.25"/>
    <row r="25" spans="1:1" s="122" customFormat="1" x14ac:dyDescent="0.25"/>
    <row r="26" spans="1:1" s="122" customFormat="1" x14ac:dyDescent="0.25"/>
    <row r="27" spans="1:1" s="122" customFormat="1" x14ac:dyDescent="0.25"/>
    <row r="28" spans="1:1" s="122" customFormat="1" x14ac:dyDescent="0.25"/>
    <row r="29" spans="1:1" s="122" customFormat="1" x14ac:dyDescent="0.25"/>
    <row r="30" spans="1:1" s="122" customFormat="1" x14ac:dyDescent="0.25"/>
    <row r="31" spans="1:1" s="122" customFormat="1" x14ac:dyDescent="0.25"/>
    <row r="32" spans="1:1" s="122" customFormat="1" x14ac:dyDescent="0.25"/>
    <row r="33" s="122" customFormat="1" x14ac:dyDescent="0.25"/>
    <row r="34" s="122" customFormat="1" x14ac:dyDescent="0.25"/>
    <row r="35" s="122" customFormat="1" x14ac:dyDescent="0.25"/>
    <row r="36" s="122" customFormat="1" x14ac:dyDescent="0.25"/>
    <row r="37" s="122" customFormat="1" x14ac:dyDescent="0.25"/>
    <row r="38" s="122" customFormat="1" x14ac:dyDescent="0.25"/>
    <row r="39" s="122" customFormat="1" x14ac:dyDescent="0.25"/>
    <row r="40" s="122" customFormat="1" x14ac:dyDescent="0.25"/>
    <row r="41" s="122" customFormat="1" x14ac:dyDescent="0.25"/>
    <row r="42" s="122" customFormat="1" x14ac:dyDescent="0.25"/>
    <row r="43" s="122" customFormat="1" x14ac:dyDescent="0.25"/>
    <row r="44" s="122" customFormat="1" x14ac:dyDescent="0.25"/>
    <row r="45" s="122" customFormat="1" x14ac:dyDescent="0.25"/>
    <row r="46" s="122" customFormat="1" x14ac:dyDescent="0.25"/>
    <row r="47" s="122" customFormat="1" x14ac:dyDescent="0.25"/>
    <row r="48" s="122" customFormat="1" x14ac:dyDescent="0.25"/>
    <row r="49" s="122" customFormat="1" x14ac:dyDescent="0.25"/>
    <row r="50" s="122" customFormat="1" x14ac:dyDescent="0.25"/>
    <row r="51" s="122" customFormat="1" x14ac:dyDescent="0.25"/>
    <row r="52" s="122" customFormat="1" x14ac:dyDescent="0.25"/>
    <row r="53" s="122" customFormat="1" x14ac:dyDescent="0.25"/>
    <row r="54" s="122" customFormat="1" x14ac:dyDescent="0.25"/>
    <row r="55" s="122" customFormat="1" x14ac:dyDescent="0.25"/>
    <row r="56" s="122" customFormat="1" x14ac:dyDescent="0.25"/>
    <row r="57" s="122" customFormat="1" x14ac:dyDescent="0.25"/>
    <row r="58" s="122" customFormat="1" x14ac:dyDescent="0.25"/>
    <row r="59" s="122" customFormat="1" x14ac:dyDescent="0.25"/>
    <row r="60" s="122" customFormat="1" x14ac:dyDescent="0.25"/>
    <row r="61" s="122" customFormat="1" x14ac:dyDescent="0.25"/>
    <row r="62" s="122" customFormat="1" x14ac:dyDescent="0.25"/>
    <row r="63" s="122" customFormat="1" x14ac:dyDescent="0.25"/>
    <row r="64" s="122" customFormat="1" x14ac:dyDescent="0.25"/>
    <row r="65" s="122" customFormat="1" x14ac:dyDescent="0.25"/>
    <row r="66" s="122" customFormat="1" x14ac:dyDescent="0.25"/>
    <row r="67" s="122" customFormat="1" x14ac:dyDescent="0.25"/>
    <row r="68" s="122" customFormat="1" x14ac:dyDescent="0.25"/>
    <row r="69" s="122" customFormat="1" x14ac:dyDescent="0.25"/>
    <row r="70" s="122" customFormat="1" x14ac:dyDescent="0.25"/>
    <row r="71" s="122" customFormat="1" x14ac:dyDescent="0.25"/>
    <row r="72" s="122" customFormat="1" x14ac:dyDescent="0.25"/>
    <row r="73" s="122" customFormat="1" x14ac:dyDescent="0.25"/>
    <row r="74" s="122" customFormat="1" x14ac:dyDescent="0.25"/>
    <row r="75" s="122" customFormat="1" x14ac:dyDescent="0.25"/>
    <row r="76" s="122" customFormat="1" x14ac:dyDescent="0.25"/>
    <row r="77" s="122" customFormat="1" x14ac:dyDescent="0.25"/>
    <row r="78" s="122" customFormat="1" x14ac:dyDescent="0.25"/>
    <row r="79" s="122" customFormat="1" x14ac:dyDescent="0.25"/>
    <row r="80" s="122" customFormat="1" x14ac:dyDescent="0.25"/>
    <row r="81" s="122" customFormat="1" x14ac:dyDescent="0.25"/>
    <row r="82" s="122" customFormat="1" x14ac:dyDescent="0.25"/>
    <row r="83" s="122" customFormat="1" x14ac:dyDescent="0.25"/>
    <row r="84" s="122" customFormat="1" x14ac:dyDescent="0.25"/>
    <row r="85" s="122" customFormat="1" x14ac:dyDescent="0.25"/>
    <row r="86" s="122" customFormat="1" x14ac:dyDescent="0.25"/>
    <row r="87" s="122" customFormat="1" x14ac:dyDescent="0.25"/>
    <row r="88" s="122" customFormat="1" x14ac:dyDescent="0.25"/>
    <row r="89" s="122" customFormat="1" x14ac:dyDescent="0.25"/>
    <row r="90" s="122" customFormat="1" x14ac:dyDescent="0.25"/>
    <row r="91" s="122" customFormat="1" x14ac:dyDescent="0.25"/>
    <row r="92" s="122" customFormat="1" x14ac:dyDescent="0.25"/>
    <row r="93" s="122" customFormat="1" x14ac:dyDescent="0.25"/>
    <row r="94" s="122" customFormat="1" x14ac:dyDescent="0.25"/>
    <row r="95" s="122" customFormat="1" x14ac:dyDescent="0.25"/>
    <row r="96" s="122" customFormat="1" x14ac:dyDescent="0.25"/>
    <row r="97" s="122" customFormat="1" x14ac:dyDescent="0.25"/>
    <row r="98" s="122" customFormat="1" x14ac:dyDescent="0.25"/>
    <row r="99" s="122" customFormat="1" x14ac:dyDescent="0.25"/>
    <row r="100" s="122" customFormat="1" x14ac:dyDescent="0.25"/>
    <row r="101" s="122" customFormat="1" x14ac:dyDescent="0.25"/>
    <row r="102" s="122" customFormat="1" x14ac:dyDescent="0.25"/>
    <row r="103" s="122" customFormat="1" x14ac:dyDescent="0.25"/>
    <row r="104" s="122" customFormat="1" x14ac:dyDescent="0.25"/>
    <row r="105" s="122" customFormat="1" x14ac:dyDescent="0.25"/>
    <row r="106" s="122" customFormat="1" x14ac:dyDescent="0.25"/>
    <row r="107" s="122" customFormat="1" x14ac:dyDescent="0.25"/>
    <row r="108" s="122" customFormat="1" x14ac:dyDescent="0.25"/>
    <row r="109" s="122" customFormat="1" x14ac:dyDescent="0.25"/>
    <row r="110" s="122" customFormat="1" x14ac:dyDescent="0.25"/>
    <row r="111" s="122" customFormat="1" x14ac:dyDescent="0.25"/>
    <row r="112" s="122" customFormat="1" x14ac:dyDescent="0.25"/>
    <row r="113" s="122" customFormat="1" x14ac:dyDescent="0.25"/>
    <row r="114" s="122" customFormat="1" x14ac:dyDescent="0.25"/>
    <row r="115" s="122" customFormat="1" x14ac:dyDescent="0.25"/>
    <row r="116" s="122" customFormat="1" x14ac:dyDescent="0.25"/>
    <row r="117" s="122" customFormat="1" x14ac:dyDescent="0.25"/>
    <row r="118" s="122" customFormat="1" x14ac:dyDescent="0.25"/>
    <row r="119" s="122" customFormat="1" x14ac:dyDescent="0.25"/>
    <row r="120" s="122" customFormat="1" x14ac:dyDescent="0.25"/>
    <row r="121" s="122" customFormat="1" x14ac:dyDescent="0.25"/>
    <row r="122" s="122" customFormat="1" x14ac:dyDescent="0.25"/>
    <row r="123" s="122" customFormat="1" x14ac:dyDescent="0.25"/>
    <row r="124" s="122" customFormat="1" x14ac:dyDescent="0.25"/>
    <row r="125" s="122" customFormat="1" x14ac:dyDescent="0.25"/>
    <row r="126" s="122" customFormat="1" x14ac:dyDescent="0.25"/>
    <row r="127" s="122" customFormat="1" x14ac:dyDescent="0.25"/>
    <row r="128" s="122" customFormat="1" x14ac:dyDescent="0.25"/>
    <row r="129" s="122" customFormat="1" x14ac:dyDescent="0.25"/>
    <row r="130" s="122" customFormat="1" x14ac:dyDescent="0.25"/>
    <row r="131" s="122" customFormat="1" x14ac:dyDescent="0.25"/>
    <row r="132" s="122" customFormat="1" x14ac:dyDescent="0.25"/>
    <row r="133" s="122" customFormat="1" x14ac:dyDescent="0.25"/>
  </sheetData>
  <mergeCells count="1">
    <mergeCell ref="A1:B1"/>
  </mergeCells>
  <phoneticPr fontId="0" type="noConversion"/>
  <dataValidations count="1">
    <dataValidation type="list" allowBlank="1" showInputMessage="1" showErrorMessage="1" sqref="B7">
      <formula1>Land_Use</formula1>
    </dataValidation>
  </dataValidations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1"/>
  <sheetViews>
    <sheetView workbookViewId="0">
      <selection activeCell="L5" sqref="L5"/>
    </sheetView>
  </sheetViews>
  <sheetFormatPr defaultRowHeight="15.5" x14ac:dyDescent="0.35"/>
  <cols>
    <col min="1" max="1" width="11.453125" style="2" bestFit="1" customWidth="1"/>
    <col min="2" max="2" width="7.81640625" style="43" bestFit="1" customWidth="1"/>
    <col min="3" max="3" width="7.26953125" style="43" bestFit="1" customWidth="1"/>
    <col min="4" max="4" width="10.26953125" style="44" bestFit="1" customWidth="1"/>
    <col min="5" max="5" width="10.81640625" style="44" bestFit="1" customWidth="1"/>
    <col min="6" max="6" width="8.26953125" style="43" bestFit="1" customWidth="1"/>
    <col min="7" max="7" width="8.7265625" style="43" bestFit="1" customWidth="1"/>
    <col min="8" max="8" width="8.7265625" style="1" customWidth="1"/>
    <col min="9" max="9" width="7.1796875" style="45" customWidth="1"/>
    <col min="10" max="10" width="3.7265625" style="32" customWidth="1"/>
    <col min="11" max="11" width="28" style="32" bestFit="1" customWidth="1"/>
    <col min="12" max="12" width="8.7265625" style="1" bestFit="1" customWidth="1"/>
    <col min="13" max="13" width="7.26953125" style="1" customWidth="1"/>
    <col min="14" max="14" width="8.1796875" style="42" customWidth="1"/>
    <col min="15" max="15" width="8" style="1" customWidth="1"/>
    <col min="16" max="16" width="7.7265625" style="1" customWidth="1"/>
    <col min="17" max="18" width="9.54296875" style="33" customWidth="1"/>
    <col min="19" max="20" width="9.1796875" style="1" customWidth="1"/>
    <col min="21" max="21" width="9.1796875" style="21" customWidth="1"/>
    <col min="22" max="27" width="9.1796875" style="1" customWidth="1"/>
  </cols>
  <sheetData>
    <row r="1" spans="1:36" ht="16" thickBot="1" x14ac:dyDescent="0.4"/>
    <row r="2" spans="1:36" s="39" customFormat="1" ht="16" thickBot="1" x14ac:dyDescent="0.4">
      <c r="A2" s="47" t="s">
        <v>12</v>
      </c>
      <c r="B2" s="48" t="s">
        <v>26</v>
      </c>
      <c r="C2" s="48" t="s">
        <v>27</v>
      </c>
      <c r="D2" s="49" t="s">
        <v>8</v>
      </c>
      <c r="E2" s="50" t="s">
        <v>15</v>
      </c>
      <c r="F2" s="48" t="s">
        <v>29</v>
      </c>
      <c r="G2" s="48" t="s">
        <v>28</v>
      </c>
      <c r="H2" s="48" t="s">
        <v>1</v>
      </c>
      <c r="I2" s="51" t="s">
        <v>2</v>
      </c>
      <c r="J2" s="41"/>
      <c r="K2" s="34" t="s">
        <v>19</v>
      </c>
      <c r="L2" s="35" t="s">
        <v>28</v>
      </c>
      <c r="M2" s="40"/>
      <c r="N2" s="41"/>
      <c r="O2" s="40"/>
      <c r="P2" s="40"/>
      <c r="Q2" s="41"/>
      <c r="R2" s="41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6" thickBot="1" x14ac:dyDescent="0.4">
      <c r="A3" s="52">
        <f>+'LS3'!$B$9</f>
        <v>3.8</v>
      </c>
      <c r="B3" s="53">
        <f>DEGREES(ATAN(A3/100))</f>
        <v>2.1761925505253368</v>
      </c>
      <c r="C3" s="53">
        <f>(ATAN(A3/100))</f>
        <v>3.7981725164040185E-2</v>
      </c>
      <c r="D3" s="53">
        <f>(SIN(C3))/0.0896</f>
        <v>0.42380126872185542</v>
      </c>
      <c r="E3" s="53">
        <f>(((SIN(C3))^0.8)*3)+ 0.56</f>
        <v>0.7791277929040652</v>
      </c>
      <c r="F3" s="53">
        <f>+D3/E3</f>
        <v>0.54394320492946202</v>
      </c>
      <c r="G3" s="53">
        <f>VLOOKUP('LS3'!B7,B_Fact,2,FALSE)</f>
        <v>2</v>
      </c>
      <c r="H3" s="53">
        <f>+G3*F3</f>
        <v>1.087886409858924</v>
      </c>
      <c r="I3" s="54">
        <f>+H3/(H3+1)</f>
        <v>0.52104674120295236</v>
      </c>
      <c r="K3" s="36" t="s">
        <v>23</v>
      </c>
      <c r="L3" s="37">
        <v>0.5</v>
      </c>
      <c r="M3" s="32"/>
      <c r="N3" s="33"/>
      <c r="O3" s="32"/>
      <c r="P3" s="32"/>
    </row>
    <row r="4" spans="1:36" ht="16" thickBot="1" x14ac:dyDescent="0.4">
      <c r="A4" s="70" t="s">
        <v>36</v>
      </c>
      <c r="B4" s="127" t="s">
        <v>37</v>
      </c>
      <c r="C4" s="128"/>
      <c r="F4" s="44"/>
      <c r="G4" s="44"/>
      <c r="H4" s="9"/>
      <c r="I4" s="46"/>
      <c r="K4" s="36" t="s">
        <v>24</v>
      </c>
      <c r="L4" s="37">
        <v>1</v>
      </c>
      <c r="M4" s="23"/>
      <c r="N4" s="33"/>
      <c r="O4" s="32"/>
      <c r="P4" s="32"/>
    </row>
    <row r="5" spans="1:36" ht="16.5" thickBot="1" x14ac:dyDescent="0.45">
      <c r="A5" s="72">
        <f>IF('LS3'!$B$11&gt;=3,'LS3'!B11,3)</f>
        <v>131.23359600000001</v>
      </c>
      <c r="B5" s="71"/>
      <c r="C5" s="73">
        <f>IF(AND($A$5&gt;=15, $A$3&lt;9),1,IF(AND($A$5&gt;=15, $A$3&gt;=9),2,IF(AND($A$5&lt;15, $A$3&lt;9),3,IF(AND($A$5&lt;15, $A$3&gt;=9),4,0))))</f>
        <v>1</v>
      </c>
      <c r="D5" s="90" t="s">
        <v>5</v>
      </c>
      <c r="E5" s="91" t="s">
        <v>34</v>
      </c>
      <c r="F5" s="92" t="s">
        <v>35</v>
      </c>
      <c r="G5" s="93" t="s">
        <v>6</v>
      </c>
      <c r="H5" s="94" t="s">
        <v>7</v>
      </c>
      <c r="K5" s="36" t="s">
        <v>25</v>
      </c>
      <c r="L5" s="38">
        <v>2</v>
      </c>
    </row>
    <row r="6" spans="1:36" x14ac:dyDescent="0.35">
      <c r="A6" s="74" t="s">
        <v>30</v>
      </c>
      <c r="B6" s="75" t="s">
        <v>32</v>
      </c>
      <c r="C6" s="76">
        <v>1</v>
      </c>
      <c r="D6" s="46">
        <f>(+'LS3'!$B$11/72.6)^$I$3</f>
        <v>1.3613365298383431</v>
      </c>
      <c r="E6" s="46"/>
      <c r="F6" s="46"/>
      <c r="G6" s="46">
        <f>((SIN($C$3))*10.8) + 0.03</f>
        <v>0.44010401171676505</v>
      </c>
      <c r="H6" s="63">
        <f>+G6*D6</f>
        <v>0.59912966807843437</v>
      </c>
      <c r="I6" s="77"/>
      <c r="J6" s="78"/>
      <c r="K6" s="79" t="b">
        <f>AND($A$5&gt;=15, $A$3&lt;9)</f>
        <v>1</v>
      </c>
    </row>
    <row r="7" spans="1:36" x14ac:dyDescent="0.35">
      <c r="A7" s="80" t="s">
        <v>30</v>
      </c>
      <c r="B7" s="81" t="s">
        <v>33</v>
      </c>
      <c r="C7" s="82">
        <v>2</v>
      </c>
      <c r="D7" s="46">
        <f>(+'LS3'!$B$11/72.6)^$I$3</f>
        <v>1.3613365298383431</v>
      </c>
      <c r="E7" s="46"/>
      <c r="F7" s="46"/>
      <c r="G7" s="46">
        <f>((SIN($C$3))*16.8) - 0.5</f>
        <v>0.13793957378163457</v>
      </c>
      <c r="H7" s="63">
        <f>+G7*D7</f>
        <v>0.1877821806992705</v>
      </c>
      <c r="J7" s="42"/>
      <c r="K7" s="83" t="b">
        <f>AND($A$5&gt;=15, $A$3&gt;=9)</f>
        <v>0</v>
      </c>
    </row>
    <row r="8" spans="1:36" x14ac:dyDescent="0.35">
      <c r="A8" s="80" t="s">
        <v>31</v>
      </c>
      <c r="B8" s="81" t="s">
        <v>32</v>
      </c>
      <c r="C8" s="82">
        <v>3</v>
      </c>
      <c r="D8" s="46">
        <f xml:space="preserve"> (15/72.6)^$I$3</f>
        <v>0.43970717877879351</v>
      </c>
      <c r="E8" s="46"/>
      <c r="F8" s="46"/>
      <c r="G8" s="46">
        <f>((SIN($C$3))*10.8) + 0.03</f>
        <v>0.44010401171676505</v>
      </c>
      <c r="H8" s="63">
        <f>+G8*D8</f>
        <v>0.19351689336120784</v>
      </c>
      <c r="I8" s="46"/>
      <c r="J8" s="42"/>
      <c r="K8" s="83" t="b">
        <f>AND($A$5&lt;15, $A$3&lt;9)</f>
        <v>0</v>
      </c>
    </row>
    <row r="9" spans="1:36" ht="16" thickBot="1" x14ac:dyDescent="0.4">
      <c r="A9" s="84" t="s">
        <v>31</v>
      </c>
      <c r="B9" s="85" t="s">
        <v>33</v>
      </c>
      <c r="C9" s="86">
        <v>4</v>
      </c>
      <c r="D9" s="53">
        <f xml:space="preserve"> (15/72.6)^$I$3</f>
        <v>0.43970717877879351</v>
      </c>
      <c r="E9" s="53">
        <f>(((SIN($C$3))^0.8)*3)+ 0.56</f>
        <v>0.7791277929040652</v>
      </c>
      <c r="F9" s="53">
        <f>((SIN($C$3))*16.8) - 0.5</f>
        <v>0.13793957378163457</v>
      </c>
      <c r="G9" s="53"/>
      <c r="H9" s="95">
        <f>10^(LOG10(D9*E9)+(LOG10($A$5)-LOG10(3))*(LOG10(D9*F9)-LOG10(D9*E9))/0.699)</f>
        <v>5.8832539789336474E-3</v>
      </c>
      <c r="I9" s="87"/>
      <c r="J9" s="88"/>
      <c r="K9" s="89" t="b">
        <f>AND($A$5&lt;15, $A$3&gt;=9)</f>
        <v>0</v>
      </c>
    </row>
    <row r="10" spans="1:36" x14ac:dyDescent="0.35">
      <c r="A10" s="9"/>
      <c r="B10" s="9"/>
      <c r="C10" s="55"/>
      <c r="F10" s="44"/>
      <c r="G10" s="44"/>
      <c r="H10" s="44"/>
    </row>
    <row r="11" spans="1:36" x14ac:dyDescent="0.35">
      <c r="A11" s="9"/>
      <c r="B11" s="9"/>
      <c r="C11" s="55"/>
      <c r="F11" s="44"/>
      <c r="G11" s="44"/>
      <c r="H11" s="44"/>
    </row>
  </sheetData>
  <sheetProtection sheet="1" objects="1" scenarios="1"/>
  <mergeCells count="1">
    <mergeCell ref="B4:C4"/>
  </mergeCells>
  <phoneticPr fontId="0" type="noConversion"/>
  <pageMargins left="0.5" right="0.5" top="1" bottom="1" header="0.5" footer="0.5"/>
  <pageSetup orientation="landscape" r:id="rId1"/>
  <headerFooter alignWithMargins="0"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5.5" x14ac:dyDescent="0.35"/>
  <cols>
    <col min="1" max="1" width="5.1796875" customWidth="1"/>
    <col min="2" max="2" width="5.7265625" style="2" customWidth="1"/>
    <col min="3" max="3" width="10.7265625" style="1" customWidth="1"/>
    <col min="4" max="4" width="11.1796875" style="1" customWidth="1"/>
    <col min="5" max="5" width="13" style="9" customWidth="1"/>
    <col min="6" max="6" width="15.1796875" style="9" customWidth="1"/>
    <col min="7" max="7" width="13.81640625" style="1" customWidth="1"/>
    <col min="8" max="8" width="13" style="21" customWidth="1"/>
    <col min="9" max="9" width="4.54296875" style="44" bestFit="1" customWidth="1"/>
    <col min="10" max="10" width="4" style="56" bestFit="1" customWidth="1"/>
    <col min="11" max="11" width="7.7265625" style="9" bestFit="1" customWidth="1"/>
    <col min="12" max="12" width="4.54296875" style="44" bestFit="1" customWidth="1"/>
    <col min="13" max="13" width="4.54296875" style="67" bestFit="1" customWidth="1"/>
    <col min="14" max="14" width="4.54296875" style="44" bestFit="1" customWidth="1"/>
    <col min="15" max="15" width="5.453125" style="44" bestFit="1" customWidth="1"/>
    <col min="16" max="16" width="4.54296875" style="63" bestFit="1" customWidth="1"/>
    <col min="17" max="17" width="9.54296875" style="31" customWidth="1"/>
    <col min="18" max="19" width="9.1796875" style="1" customWidth="1"/>
    <col min="20" max="20" width="9.1796875" style="21" customWidth="1"/>
    <col min="21" max="26" width="9.1796875" style="1" customWidth="1"/>
  </cols>
  <sheetData>
    <row r="1" spans="1:35" ht="16" thickBot="1" x14ac:dyDescent="0.4">
      <c r="C1" s="1" t="s">
        <v>18</v>
      </c>
      <c r="K1" s="57" t="s">
        <v>14</v>
      </c>
      <c r="O1" s="58" t="s">
        <v>13</v>
      </c>
    </row>
    <row r="2" spans="1:35" s="5" customFormat="1" ht="42.75" customHeight="1" thickTop="1" thickBot="1" x14ac:dyDescent="0.5">
      <c r="B2" s="29" t="s">
        <v>17</v>
      </c>
      <c r="C2" s="24" t="s">
        <v>10</v>
      </c>
      <c r="D2" s="24" t="s">
        <v>11</v>
      </c>
      <c r="G2" s="4"/>
      <c r="H2" s="17"/>
      <c r="I2" s="66"/>
      <c r="J2" s="59" t="s">
        <v>9</v>
      </c>
      <c r="K2" s="98">
        <v>5</v>
      </c>
      <c r="L2" s="129" t="s">
        <v>16</v>
      </c>
      <c r="M2" s="130"/>
      <c r="N2" s="60" t="s">
        <v>9</v>
      </c>
      <c r="O2" s="105">
        <v>100</v>
      </c>
      <c r="P2" s="129" t="s">
        <v>16</v>
      </c>
      <c r="Q2" s="131"/>
      <c r="R2" s="4"/>
      <c r="S2" s="4"/>
      <c r="T2" s="17"/>
      <c r="U2" s="4"/>
      <c r="V2" s="4"/>
      <c r="W2" s="4"/>
      <c r="X2" s="4"/>
      <c r="Y2" s="4"/>
      <c r="Z2" s="4"/>
    </row>
    <row r="3" spans="1:35" s="8" customFormat="1" ht="17" thickTop="1" thickBot="1" x14ac:dyDescent="0.45">
      <c r="B3" s="8" t="s">
        <v>12</v>
      </c>
      <c r="C3" s="6" t="s">
        <v>0</v>
      </c>
      <c r="D3" s="6" t="s">
        <v>0</v>
      </c>
      <c r="E3" s="25" t="s">
        <v>8</v>
      </c>
      <c r="F3" s="26" t="s">
        <v>15</v>
      </c>
      <c r="G3" s="6" t="s">
        <v>1</v>
      </c>
      <c r="H3" s="18" t="s">
        <v>2</v>
      </c>
      <c r="I3" s="62" t="s">
        <v>5</v>
      </c>
      <c r="J3" s="61" t="s">
        <v>34</v>
      </c>
      <c r="K3" s="8" t="s">
        <v>35</v>
      </c>
      <c r="L3" s="62" t="s">
        <v>6</v>
      </c>
      <c r="M3" s="68" t="s">
        <v>7</v>
      </c>
      <c r="N3" s="62" t="s">
        <v>5</v>
      </c>
      <c r="O3" s="62" t="s">
        <v>6</v>
      </c>
      <c r="P3" s="62" t="s">
        <v>7</v>
      </c>
      <c r="Q3" s="30"/>
      <c r="R3" s="7"/>
      <c r="S3" s="7"/>
      <c r="T3" s="1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35">
      <c r="A4" s="14"/>
      <c r="B4" s="27">
        <v>0.2</v>
      </c>
      <c r="C4" s="9">
        <f t="shared" ref="C4:C23" si="0">DEGREES(ATAN(B4/100))</f>
        <v>0.11459140623778596</v>
      </c>
      <c r="D4" s="9">
        <f t="shared" ref="D4:D23" si="1">(ATAN(B4/100))</f>
        <v>1.9999973333397333E-3</v>
      </c>
      <c r="E4" s="9">
        <f t="shared" ref="E4:E23" si="2">(SIN(D4))/0.0896</f>
        <v>2.2321383928705356E-2</v>
      </c>
      <c r="F4" s="9">
        <f t="shared" ref="F4:F23" si="3">(((SIN(D4))^0.8)*3)+ 0.56</f>
        <v>0.58079431202379517</v>
      </c>
      <c r="G4" s="9">
        <f t="shared" ref="G4:G23" si="4">+E4/F4</f>
        <v>3.8432511246409812E-2</v>
      </c>
      <c r="H4" s="19">
        <f t="shared" ref="H4:H23" si="5">+G4/(G4+1)</f>
        <v>3.7010119415733657E-2</v>
      </c>
      <c r="I4" s="99">
        <f t="shared" ref="I4:I23" si="6" xml:space="preserve"> (15/72.6)^H4</f>
        <v>0.94330859463763972</v>
      </c>
      <c r="J4" s="69"/>
      <c r="K4" s="69"/>
      <c r="L4" s="99">
        <f t="shared" ref="L4:L13" si="7">((SIN(D4))*10.8) + 0.03</f>
        <v>5.1599956800129604E-2</v>
      </c>
      <c r="M4" s="100">
        <f t="shared" ref="M4:M13" si="8">I4*L4</f>
        <v>4.8674682732493174E-2</v>
      </c>
      <c r="N4" s="56">
        <f t="shared" ref="N4:N23" si="9" xml:space="preserve"> ($O$2/72.6)^H4</f>
        <v>1.0119213344267262</v>
      </c>
      <c r="O4" s="56">
        <f t="shared" ref="O4:O13" si="10">((SIN(D4))*10.8) + 0.03</f>
        <v>5.1599956800129604E-2</v>
      </c>
      <c r="P4" s="106">
        <f t="shared" ref="P4:P23" si="11">N4*O4</f>
        <v>5.2215097141548573E-2</v>
      </c>
    </row>
    <row r="5" spans="1:35" x14ac:dyDescent="0.35">
      <c r="A5" s="14"/>
      <c r="B5" s="27">
        <v>0.5</v>
      </c>
      <c r="C5" s="9">
        <f t="shared" si="0"/>
        <v>0.28647651027707449</v>
      </c>
      <c r="D5" s="9">
        <f t="shared" si="1"/>
        <v>4.9999583339583225E-3</v>
      </c>
      <c r="E5" s="9">
        <f t="shared" si="2"/>
        <v>5.5802873897007263E-2</v>
      </c>
      <c r="F5" s="9">
        <f t="shared" si="3"/>
        <v>0.6032805643748187</v>
      </c>
      <c r="G5" s="9">
        <f t="shared" si="4"/>
        <v>9.2499041395168985E-2</v>
      </c>
      <c r="H5" s="19">
        <f t="shared" si="5"/>
        <v>8.4667389068866977E-2</v>
      </c>
      <c r="I5" s="99">
        <f t="shared" si="6"/>
        <v>0.875015873025625</v>
      </c>
      <c r="J5" s="69"/>
      <c r="K5" s="69"/>
      <c r="L5" s="99">
        <f t="shared" si="7"/>
        <v>8.3999325012656001E-2</v>
      </c>
      <c r="M5" s="100">
        <f t="shared" si="8"/>
        <v>7.3500742709512415E-2</v>
      </c>
      <c r="N5" s="56">
        <f t="shared" si="9"/>
        <v>1.0274817890535262</v>
      </c>
      <c r="O5" s="56">
        <f t="shared" si="10"/>
        <v>8.3999325012656001E-2</v>
      </c>
      <c r="P5" s="106">
        <f t="shared" si="11"/>
        <v>8.6307776743292403E-2</v>
      </c>
    </row>
    <row r="6" spans="1:35" x14ac:dyDescent="0.35">
      <c r="A6" s="14"/>
      <c r="B6" s="27">
        <v>1</v>
      </c>
      <c r="C6" s="9">
        <f t="shared" si="0"/>
        <v>0.57293869768348593</v>
      </c>
      <c r="D6" s="9">
        <f t="shared" si="1"/>
        <v>9.9996666866652376E-3</v>
      </c>
      <c r="E6" s="9">
        <f t="shared" si="2"/>
        <v>0.11160156291849191</v>
      </c>
      <c r="F6" s="9">
        <f t="shared" si="3"/>
        <v>0.63535357889255117</v>
      </c>
      <c r="G6" s="9">
        <f t="shared" si="4"/>
        <v>0.17565268635618339</v>
      </c>
      <c r="H6" s="19">
        <f t="shared" si="5"/>
        <v>0.14940865477933038</v>
      </c>
      <c r="I6" s="99">
        <f t="shared" si="6"/>
        <v>0.79009293031770522</v>
      </c>
      <c r="J6" s="69"/>
      <c r="K6" s="69"/>
      <c r="L6" s="99">
        <f t="shared" si="7"/>
        <v>0.13799460040496625</v>
      </c>
      <c r="M6" s="100">
        <f t="shared" si="8"/>
        <v>0.10902855820198058</v>
      </c>
      <c r="N6" s="56">
        <f t="shared" si="9"/>
        <v>1.0490043096751867</v>
      </c>
      <c r="O6" s="56">
        <f t="shared" si="10"/>
        <v>0.13799460040496625</v>
      </c>
      <c r="P6" s="106">
        <f t="shared" si="11"/>
        <v>0.14475693053671485</v>
      </c>
    </row>
    <row r="7" spans="1:35" x14ac:dyDescent="0.35">
      <c r="A7" s="14"/>
      <c r="B7" s="27">
        <v>2</v>
      </c>
      <c r="C7" s="9">
        <f t="shared" si="0"/>
        <v>1.1457628381751035</v>
      </c>
      <c r="D7" s="9">
        <f t="shared" si="1"/>
        <v>1.9997333973150535E-2</v>
      </c>
      <c r="E7" s="9">
        <f t="shared" si="2"/>
        <v>0.22316965624553731</v>
      </c>
      <c r="F7" s="9">
        <f t="shared" si="3"/>
        <v>0.69118246219740787</v>
      </c>
      <c r="G7" s="9">
        <f t="shared" si="4"/>
        <v>0.3228809590104994</v>
      </c>
      <c r="H7" s="19">
        <f t="shared" si="5"/>
        <v>0.24407408452836968</v>
      </c>
      <c r="I7" s="99">
        <f t="shared" si="6"/>
        <v>0.68052956159575062</v>
      </c>
      <c r="J7" s="69"/>
      <c r="K7" s="69"/>
      <c r="L7" s="99">
        <f t="shared" si="7"/>
        <v>0.24595681295568153</v>
      </c>
      <c r="M7" s="100">
        <f t="shared" si="8"/>
        <v>0.16738088209221799</v>
      </c>
      <c r="N7" s="56">
        <f t="shared" si="9"/>
        <v>1.0812889553781642</v>
      </c>
      <c r="O7" s="56">
        <f t="shared" si="10"/>
        <v>0.24595681295568153</v>
      </c>
      <c r="P7" s="106">
        <f t="shared" si="11"/>
        <v>0.2659503853489914</v>
      </c>
    </row>
    <row r="8" spans="1:35" x14ac:dyDescent="0.35">
      <c r="A8" s="14"/>
      <c r="B8" s="27">
        <v>3</v>
      </c>
      <c r="C8" s="9">
        <f t="shared" si="0"/>
        <v>1.7183580016554572</v>
      </c>
      <c r="D8" s="9">
        <f t="shared" si="1"/>
        <v>2.99910048568779E-2</v>
      </c>
      <c r="E8" s="9">
        <f t="shared" si="2"/>
        <v>0.3346708605543639</v>
      </c>
      <c r="F8" s="9">
        <f t="shared" si="3"/>
        <v>0.74141031723990758</v>
      </c>
      <c r="G8" s="9">
        <f t="shared" si="4"/>
        <v>0.45139763066727084</v>
      </c>
      <c r="H8" s="19">
        <f t="shared" si="5"/>
        <v>0.3110089345121389</v>
      </c>
      <c r="I8" s="99">
        <f t="shared" si="6"/>
        <v>0.61236022474103946</v>
      </c>
      <c r="J8" s="69"/>
      <c r="K8" s="69"/>
      <c r="L8" s="99">
        <f t="shared" si="7"/>
        <v>0.35385429834124682</v>
      </c>
      <c r="M8" s="100">
        <f t="shared" si="8"/>
        <v>0.21668629765782874</v>
      </c>
      <c r="N8" s="56">
        <f t="shared" si="9"/>
        <v>1.1047142431376784</v>
      </c>
      <c r="O8" s="56">
        <f t="shared" si="10"/>
        <v>0.35385429834124682</v>
      </c>
      <c r="P8" s="106">
        <f t="shared" si="11"/>
        <v>0.39090788337306476</v>
      </c>
    </row>
    <row r="9" spans="1:35" x14ac:dyDescent="0.35">
      <c r="A9" s="3" t="s">
        <v>4</v>
      </c>
      <c r="B9" s="27">
        <v>4</v>
      </c>
      <c r="C9" s="9">
        <f t="shared" si="0"/>
        <v>2.2906100426385296</v>
      </c>
      <c r="D9" s="9">
        <f t="shared" si="1"/>
        <v>3.9978687123290044E-2</v>
      </c>
      <c r="E9" s="9">
        <f t="shared" si="2"/>
        <v>0.44607185657222748</v>
      </c>
      <c r="F9" s="9">
        <f t="shared" si="3"/>
        <v>0.78829243555880069</v>
      </c>
      <c r="G9" s="9">
        <f t="shared" si="4"/>
        <v>0.56587103522821247</v>
      </c>
      <c r="H9" s="19">
        <f t="shared" si="5"/>
        <v>0.3613778034700933</v>
      </c>
      <c r="I9" s="99">
        <f t="shared" si="6"/>
        <v>0.56560349901787077</v>
      </c>
      <c r="J9" s="69"/>
      <c r="K9" s="69"/>
      <c r="L9" s="99">
        <f t="shared" si="7"/>
        <v>0.46165481416781307</v>
      </c>
      <c r="M9" s="100">
        <f t="shared" si="8"/>
        <v>0.26111357823175996</v>
      </c>
      <c r="N9" s="56">
        <f t="shared" si="9"/>
        <v>1.1226759481370125</v>
      </c>
      <c r="O9" s="56">
        <f t="shared" si="10"/>
        <v>0.46165481416781307</v>
      </c>
      <c r="P9" s="106">
        <f t="shared" si="11"/>
        <v>0.51828875620786585</v>
      </c>
    </row>
    <row r="10" spans="1:35" x14ac:dyDescent="0.35">
      <c r="A10" s="16"/>
      <c r="B10" s="27">
        <v>5</v>
      </c>
      <c r="C10" s="9">
        <f t="shared" si="0"/>
        <v>2.8624052261117479</v>
      </c>
      <c r="D10" s="9">
        <f t="shared" si="1"/>
        <v>4.9958395721942765E-2</v>
      </c>
      <c r="E10" s="9">
        <f t="shared" si="2"/>
        <v>0.55733947482022594</v>
      </c>
      <c r="F10" s="9">
        <f t="shared" si="3"/>
        <v>0.83281202276779176</v>
      </c>
      <c r="G10" s="9">
        <f t="shared" si="4"/>
        <v>0.66922601929778547</v>
      </c>
      <c r="H10" s="19">
        <f t="shared" si="5"/>
        <v>0.40091995425479726</v>
      </c>
      <c r="I10" s="99">
        <f t="shared" si="6"/>
        <v>0.53141257730183766</v>
      </c>
      <c r="J10" s="69"/>
      <c r="K10" s="69"/>
      <c r="L10" s="99">
        <f t="shared" si="7"/>
        <v>0.56932626299403621</v>
      </c>
      <c r="M10" s="100">
        <f t="shared" si="8"/>
        <v>0.30254713674328465</v>
      </c>
      <c r="N10" s="56">
        <f t="shared" si="9"/>
        <v>1.1369811999624262</v>
      </c>
      <c r="O10" s="56">
        <f t="shared" si="10"/>
        <v>0.56932626299403621</v>
      </c>
      <c r="P10" s="106">
        <f t="shared" si="11"/>
        <v>0.6473132576690831</v>
      </c>
    </row>
    <row r="11" spans="1:35" x14ac:dyDescent="0.35">
      <c r="A11" s="16"/>
      <c r="B11" s="27">
        <v>6</v>
      </c>
      <c r="C11" s="9">
        <f t="shared" si="0"/>
        <v>3.433630362450522</v>
      </c>
      <c r="D11" s="9">
        <f t="shared" si="1"/>
        <v>5.9928155121207881E-2</v>
      </c>
      <c r="E11" s="9">
        <f t="shared" si="2"/>
        <v>0.66844074473154824</v>
      </c>
      <c r="F11" s="9">
        <f t="shared" si="3"/>
        <v>0.87551353462725379</v>
      </c>
      <c r="G11" s="9">
        <f t="shared" si="4"/>
        <v>0.76348419332675888</v>
      </c>
      <c r="H11" s="19">
        <f t="shared" si="5"/>
        <v>0.43294076364045508</v>
      </c>
      <c r="I11" s="99">
        <f t="shared" si="6"/>
        <v>0.50524558378583828</v>
      </c>
      <c r="J11" s="69"/>
      <c r="K11" s="69"/>
      <c r="L11" s="99">
        <f t="shared" si="7"/>
        <v>0.67683673986182458</v>
      </c>
      <c r="M11" s="100">
        <f t="shared" si="8"/>
        <v>0.3419687737591911</v>
      </c>
      <c r="N11" s="56">
        <f t="shared" si="9"/>
        <v>1.1486989011733479</v>
      </c>
      <c r="O11" s="56">
        <f t="shared" si="10"/>
        <v>0.67683673986182458</v>
      </c>
      <c r="P11" s="106">
        <f t="shared" si="11"/>
        <v>0.77748161935302906</v>
      </c>
    </row>
    <row r="12" spans="1:35" x14ac:dyDescent="0.35">
      <c r="A12" s="16"/>
      <c r="B12" s="27">
        <v>7</v>
      </c>
      <c r="C12" s="9">
        <f t="shared" si="0"/>
        <v>4.0041729407093882</v>
      </c>
      <c r="D12" s="9">
        <f t="shared" si="1"/>
        <v>6.9886001634642508E-2</v>
      </c>
      <c r="E12" s="9">
        <f t="shared" si="2"/>
        <v>0.779342943079396</v>
      </c>
      <c r="F12" s="9">
        <f t="shared" si="3"/>
        <v>0.91673896522174925</v>
      </c>
      <c r="G12" s="9">
        <f t="shared" si="4"/>
        <v>0.85012525118410487</v>
      </c>
      <c r="H12" s="19">
        <f t="shared" si="5"/>
        <v>0.45949605338342003</v>
      </c>
      <c r="I12" s="99">
        <f t="shared" si="6"/>
        <v>0.48452507689332097</v>
      </c>
      <c r="J12" s="69"/>
      <c r="K12" s="69"/>
      <c r="L12" s="99">
        <f t="shared" si="7"/>
        <v>0.78415457915906994</v>
      </c>
      <c r="M12" s="100">
        <f t="shared" si="8"/>
        <v>0.37994255776329811</v>
      </c>
      <c r="N12" s="56">
        <f t="shared" si="9"/>
        <v>1.1585080982475264</v>
      </c>
      <c r="O12" s="56">
        <f t="shared" si="10"/>
        <v>0.78415457915906994</v>
      </c>
      <c r="P12" s="106">
        <f t="shared" si="11"/>
        <v>0.90844943023366354</v>
      </c>
    </row>
    <row r="13" spans="1:35" ht="16" thickBot="1" x14ac:dyDescent="0.4">
      <c r="A13" s="16"/>
      <c r="B13" s="27">
        <v>8</v>
      </c>
      <c r="C13" s="9">
        <f t="shared" si="0"/>
        <v>4.5739212599008612</v>
      </c>
      <c r="D13" s="9">
        <f t="shared" si="1"/>
        <v>7.9829985712237317E-2</v>
      </c>
      <c r="E13" s="9">
        <f t="shared" si="2"/>
        <v>0.89001364155011176</v>
      </c>
      <c r="F13" s="9">
        <f t="shared" si="3"/>
        <v>0.95672082011516923</v>
      </c>
      <c r="G13" s="9">
        <f t="shared" si="4"/>
        <v>0.93027518878806537</v>
      </c>
      <c r="H13" s="19">
        <f t="shared" si="5"/>
        <v>0.48193915260970854</v>
      </c>
      <c r="I13" s="99">
        <f t="shared" si="6"/>
        <v>0.46767720953644953</v>
      </c>
      <c r="J13" s="69"/>
      <c r="K13" s="69"/>
      <c r="L13" s="99">
        <f t="shared" si="7"/>
        <v>0.89124840065521216</v>
      </c>
      <c r="M13" s="100">
        <f t="shared" si="8"/>
        <v>0.41681656502225317</v>
      </c>
      <c r="N13" s="56">
        <f t="shared" si="9"/>
        <v>1.1668635860991721</v>
      </c>
      <c r="O13" s="56">
        <f t="shared" si="10"/>
        <v>0.89124840065521216</v>
      </c>
      <c r="P13" s="106">
        <f t="shared" si="11"/>
        <v>1.0399653048936925</v>
      </c>
    </row>
    <row r="14" spans="1:35" s="12" customFormat="1" x14ac:dyDescent="0.35">
      <c r="A14" s="13"/>
      <c r="B14" s="28">
        <v>10</v>
      </c>
      <c r="C14" s="11">
        <f t="shared" si="0"/>
        <v>5.710593137499643</v>
      </c>
      <c r="D14" s="11">
        <f t="shared" si="1"/>
        <v>9.9668652491162038E-2</v>
      </c>
      <c r="E14" s="11">
        <f t="shared" si="2"/>
        <v>1.1105325783593631</v>
      </c>
      <c r="F14" s="11">
        <f t="shared" si="3"/>
        <v>1.0335792934027705</v>
      </c>
      <c r="G14" s="11">
        <f t="shared" si="4"/>
        <v>1.074453199137964</v>
      </c>
      <c r="H14" s="20">
        <f t="shared" si="5"/>
        <v>0.51794525882022857</v>
      </c>
      <c r="I14" s="101">
        <f t="shared" si="6"/>
        <v>0.44186295428322148</v>
      </c>
      <c r="J14" s="96">
        <f t="shared" ref="J14:J23" si="12">(((SIN(D14))^0.8)*3)+ 0.56</f>
        <v>1.0335792934027705</v>
      </c>
      <c r="K14" s="96">
        <f t="shared" ref="K14:K23" si="13">((SIN(D14))*16.8) - 0.5</f>
        <v>1.1716624795527821</v>
      </c>
      <c r="L14" s="102"/>
      <c r="M14" s="103">
        <f t="shared" ref="M14:M23" si="14">10^(LOG10(I14*J14) + (LOG10($K$2)-LOG10(3))*(LOG10(I14*K14) -LOG10(I14*J14))/(LOG10(15)-LOG10(3)))</f>
        <v>0.47524357394687905</v>
      </c>
      <c r="N14" s="102">
        <f t="shared" si="9"/>
        <v>1.1803946106988892</v>
      </c>
      <c r="O14" s="102">
        <f t="shared" ref="O14:O23" si="15">((SIN(D14))*16.8) - 0.5</f>
        <v>1.1716624795527821</v>
      </c>
      <c r="P14" s="107">
        <f t="shared" si="11"/>
        <v>1.3830240764222015</v>
      </c>
      <c r="Q14" s="64"/>
      <c r="R14" s="10"/>
      <c r="S14" s="10"/>
      <c r="T14" s="22"/>
      <c r="U14" s="10"/>
      <c r="V14" s="10"/>
      <c r="W14" s="10"/>
      <c r="X14" s="10"/>
      <c r="Y14" s="10"/>
      <c r="Z14" s="10"/>
    </row>
    <row r="15" spans="1:35" x14ac:dyDescent="0.35">
      <c r="A15" s="14"/>
      <c r="B15" s="27">
        <v>12</v>
      </c>
      <c r="C15" s="9">
        <f t="shared" si="0"/>
        <v>6.8427734126309403</v>
      </c>
      <c r="D15" s="9">
        <f t="shared" si="1"/>
        <v>0.11942892601833845</v>
      </c>
      <c r="E15" s="9">
        <f t="shared" si="2"/>
        <v>1.329745765830699</v>
      </c>
      <c r="F15" s="9">
        <f t="shared" si="3"/>
        <v>1.1069939909031679</v>
      </c>
      <c r="G15" s="9">
        <f t="shared" si="4"/>
        <v>1.2012222078511861</v>
      </c>
      <c r="H15" s="19">
        <f t="shared" si="5"/>
        <v>0.54570692752723438</v>
      </c>
      <c r="I15" s="99">
        <f t="shared" si="6"/>
        <v>0.42293647554868635</v>
      </c>
      <c r="J15" s="97">
        <f t="shared" si="12"/>
        <v>1.1069939909031679</v>
      </c>
      <c r="K15" s="69">
        <f t="shared" si="13"/>
        <v>1.5016397063896347</v>
      </c>
      <c r="L15" s="104"/>
      <c r="M15" s="100">
        <f t="shared" si="14"/>
        <v>0.51576259859722196</v>
      </c>
      <c r="N15" s="99">
        <f t="shared" si="9"/>
        <v>1.190934425950503</v>
      </c>
      <c r="O15" s="99">
        <f t="shared" si="15"/>
        <v>1.5016397063896347</v>
      </c>
      <c r="P15" s="108">
        <f t="shared" si="11"/>
        <v>1.7883544217136216</v>
      </c>
      <c r="Q15" s="65"/>
    </row>
    <row r="16" spans="1:35" x14ac:dyDescent="0.35">
      <c r="A16" s="14"/>
      <c r="B16" s="27">
        <v>14</v>
      </c>
      <c r="C16" s="9">
        <f t="shared" si="0"/>
        <v>7.9696103943213599</v>
      </c>
      <c r="D16" s="9">
        <f t="shared" si="1"/>
        <v>0.13909594148207133</v>
      </c>
      <c r="E16" s="9">
        <f t="shared" si="2"/>
        <v>1.547408979178641</v>
      </c>
      <c r="F16" s="9">
        <f t="shared" si="3"/>
        <v>1.1775210303344943</v>
      </c>
      <c r="G16" s="9">
        <f t="shared" si="4"/>
        <v>1.3141242825523667</v>
      </c>
      <c r="H16" s="19">
        <f t="shared" si="5"/>
        <v>0.56787109165241167</v>
      </c>
      <c r="I16" s="99">
        <f t="shared" si="6"/>
        <v>0.40840976446605431</v>
      </c>
      <c r="J16" s="97">
        <f t="shared" si="12"/>
        <v>1.1775210303344943</v>
      </c>
      <c r="K16" s="69">
        <f t="shared" si="13"/>
        <v>1.8292837881780248</v>
      </c>
      <c r="L16" s="104"/>
      <c r="M16" s="100">
        <f t="shared" si="14"/>
        <v>0.55307772024642177</v>
      </c>
      <c r="N16" s="99">
        <f t="shared" si="9"/>
        <v>1.199416649175987</v>
      </c>
      <c r="O16" s="99">
        <f t="shared" si="15"/>
        <v>1.8292837881780248</v>
      </c>
      <c r="P16" s="108">
        <f t="shared" si="11"/>
        <v>2.1940734316084427</v>
      </c>
      <c r="Q16" s="65"/>
    </row>
    <row r="17" spans="1:17" x14ac:dyDescent="0.35">
      <c r="A17" s="14"/>
      <c r="B17" s="27">
        <v>16</v>
      </c>
      <c r="C17" s="9">
        <f t="shared" si="0"/>
        <v>9.0902769208223226</v>
      </c>
      <c r="D17" s="9">
        <f t="shared" si="1"/>
        <v>0.15865526218640141</v>
      </c>
      <c r="E17" s="9">
        <f t="shared" si="2"/>
        <v>1.7632868427084025</v>
      </c>
      <c r="F17" s="9">
        <f t="shared" si="3"/>
        <v>1.2455293227357527</v>
      </c>
      <c r="G17" s="9">
        <f t="shared" si="4"/>
        <v>1.4156927585096248</v>
      </c>
      <c r="H17" s="19">
        <f t="shared" si="5"/>
        <v>0.58604007215844967</v>
      </c>
      <c r="I17" s="99">
        <f t="shared" si="6"/>
        <v>0.39687448113060986</v>
      </c>
      <c r="J17" s="97">
        <f t="shared" si="12"/>
        <v>1.2455293227357527</v>
      </c>
      <c r="K17" s="69">
        <f t="shared" si="13"/>
        <v>2.1542404185921042</v>
      </c>
      <c r="L17" s="104"/>
      <c r="M17" s="100">
        <f t="shared" si="14"/>
        <v>0.58820387476500258</v>
      </c>
      <c r="N17" s="99">
        <f t="shared" si="9"/>
        <v>1.2064149568477716</v>
      </c>
      <c r="O17" s="99">
        <f t="shared" si="15"/>
        <v>2.1542404185921042</v>
      </c>
      <c r="P17" s="108">
        <f t="shared" si="11"/>
        <v>2.5989078616355186</v>
      </c>
      <c r="Q17" s="65"/>
    </row>
    <row r="18" spans="1:17" x14ac:dyDescent="0.35">
      <c r="A18" s="14"/>
      <c r="B18" s="27">
        <v>20</v>
      </c>
      <c r="C18" s="9">
        <f t="shared" si="0"/>
        <v>11.309932474020215</v>
      </c>
      <c r="D18" s="9">
        <f t="shared" si="1"/>
        <v>0.19739555984988078</v>
      </c>
      <c r="E18" s="9">
        <f t="shared" si="2"/>
        <v>2.1887961510958043</v>
      </c>
      <c r="F18" s="9">
        <f t="shared" si="3"/>
        <v>1.3749517853748667</v>
      </c>
      <c r="G18" s="9">
        <f t="shared" si="4"/>
        <v>1.5919075667799152</v>
      </c>
      <c r="H18" s="19">
        <f t="shared" si="5"/>
        <v>0.61418377228538246</v>
      </c>
      <c r="I18" s="99">
        <f t="shared" si="6"/>
        <v>0.37964623069158682</v>
      </c>
      <c r="J18" s="97">
        <f t="shared" si="12"/>
        <v>1.3749517853748667</v>
      </c>
      <c r="K18" s="69">
        <f t="shared" si="13"/>
        <v>2.7947510703214919</v>
      </c>
      <c r="L18" s="104"/>
      <c r="M18" s="100">
        <f t="shared" si="14"/>
        <v>0.65379488791404494</v>
      </c>
      <c r="N18" s="99">
        <f t="shared" si="9"/>
        <v>1.2173360150987114</v>
      </c>
      <c r="O18" s="99">
        <f t="shared" si="15"/>
        <v>2.7947510703214919</v>
      </c>
      <c r="P18" s="108">
        <f t="shared" si="11"/>
        <v>3.4021511311380235</v>
      </c>
      <c r="Q18" s="65"/>
    </row>
    <row r="19" spans="1:17" x14ac:dyDescent="0.35">
      <c r="A19" s="15" t="s">
        <v>3</v>
      </c>
      <c r="B19" s="27">
        <v>25</v>
      </c>
      <c r="C19" s="9">
        <f t="shared" si="0"/>
        <v>14.036243467926479</v>
      </c>
      <c r="D19" s="9">
        <f t="shared" si="1"/>
        <v>0.24497866312686414</v>
      </c>
      <c r="E19" s="9">
        <f t="shared" si="2"/>
        <v>2.7068708151376448</v>
      </c>
      <c r="F19" s="9">
        <f t="shared" si="3"/>
        <v>1.5259211735738509</v>
      </c>
      <c r="G19" s="9">
        <f t="shared" si="4"/>
        <v>1.7739257191103122</v>
      </c>
      <c r="H19" s="19">
        <f t="shared" si="5"/>
        <v>0.63950007993698832</v>
      </c>
      <c r="I19" s="99">
        <f t="shared" si="6"/>
        <v>0.36478866614002292</v>
      </c>
      <c r="J19" s="97">
        <f t="shared" si="12"/>
        <v>1.5259211735738509</v>
      </c>
      <c r="K19" s="69">
        <f t="shared" si="13"/>
        <v>3.574598500610394</v>
      </c>
      <c r="L19" s="104"/>
      <c r="M19" s="100">
        <f t="shared" si="14"/>
        <v>0.72931037626569306</v>
      </c>
      <c r="N19" s="99">
        <f t="shared" si="9"/>
        <v>1.2272443522929781</v>
      </c>
      <c r="O19" s="99">
        <f t="shared" si="15"/>
        <v>3.574598500610394</v>
      </c>
      <c r="P19" s="108">
        <f t="shared" si="11"/>
        <v>4.3869058215890533</v>
      </c>
      <c r="Q19" s="65"/>
    </row>
    <row r="20" spans="1:17" x14ac:dyDescent="0.35">
      <c r="A20" s="16"/>
      <c r="B20" s="27">
        <v>30</v>
      </c>
      <c r="C20" s="9">
        <f t="shared" si="0"/>
        <v>16.699244233993621</v>
      </c>
      <c r="D20" s="9">
        <f t="shared" si="1"/>
        <v>0.2914567944778671</v>
      </c>
      <c r="E20" s="9">
        <f t="shared" si="2"/>
        <v>3.2070076514101054</v>
      </c>
      <c r="F20" s="9">
        <f t="shared" si="3"/>
        <v>1.6662356734593691</v>
      </c>
      <c r="G20" s="9">
        <f t="shared" si="4"/>
        <v>1.9247023110193349</v>
      </c>
      <c r="H20" s="19">
        <f t="shared" si="5"/>
        <v>0.65808486004461975</v>
      </c>
      <c r="I20" s="99">
        <f t="shared" si="6"/>
        <v>0.35425308096759273</v>
      </c>
      <c r="J20" s="97">
        <f t="shared" si="12"/>
        <v>1.6662356734593691</v>
      </c>
      <c r="K20" s="69">
        <f t="shared" si="13"/>
        <v>4.3274444775146037</v>
      </c>
      <c r="L20" s="104"/>
      <c r="M20" s="100">
        <f t="shared" si="14"/>
        <v>0.79911307006658283</v>
      </c>
      <c r="N20" s="99">
        <f t="shared" si="9"/>
        <v>1.234569389053837</v>
      </c>
      <c r="O20" s="99">
        <f t="shared" si="15"/>
        <v>4.3274444775146037</v>
      </c>
      <c r="P20" s="108">
        <f t="shared" si="11"/>
        <v>5.3425304847696049</v>
      </c>
      <c r="Q20" s="65"/>
    </row>
    <row r="21" spans="1:17" x14ac:dyDescent="0.35">
      <c r="A21" s="16"/>
      <c r="B21" s="27">
        <v>40</v>
      </c>
      <c r="C21" s="9">
        <f t="shared" si="0"/>
        <v>21.801409486351812</v>
      </c>
      <c r="D21" s="9">
        <f t="shared" si="1"/>
        <v>0.3805063771123649</v>
      </c>
      <c r="E21" s="9">
        <f t="shared" si="2"/>
        <v>4.1449852271663365</v>
      </c>
      <c r="F21" s="9">
        <f t="shared" si="3"/>
        <v>1.9182698233578757</v>
      </c>
      <c r="G21" s="9">
        <f t="shared" si="4"/>
        <v>2.1607936363773166</v>
      </c>
      <c r="H21" s="19">
        <f t="shared" si="5"/>
        <v>0.68362376192767493</v>
      </c>
      <c r="I21" s="99">
        <f t="shared" si="6"/>
        <v>0.34026982484466267</v>
      </c>
      <c r="J21" s="97">
        <f t="shared" si="12"/>
        <v>1.9182698233578757</v>
      </c>
      <c r="K21" s="69">
        <f t="shared" si="13"/>
        <v>5.7393633627489429</v>
      </c>
      <c r="L21" s="104"/>
      <c r="M21" s="100">
        <f t="shared" si="14"/>
        <v>0.92426815937234053</v>
      </c>
      <c r="N21" s="99">
        <f t="shared" si="9"/>
        <v>1.2447067092591351</v>
      </c>
      <c r="O21" s="99">
        <f t="shared" si="15"/>
        <v>5.7393633627489429</v>
      </c>
      <c r="P21" s="108">
        <f t="shared" si="11"/>
        <v>7.1438240844896805</v>
      </c>
      <c r="Q21" s="65"/>
    </row>
    <row r="22" spans="1:17" x14ac:dyDescent="0.35">
      <c r="A22" s="16"/>
      <c r="B22" s="27">
        <v>50</v>
      </c>
      <c r="C22" s="9">
        <f t="shared" si="0"/>
        <v>26.56505117707799</v>
      </c>
      <c r="D22" s="9">
        <f t="shared" si="1"/>
        <v>0.46364760900080609</v>
      </c>
      <c r="E22" s="9">
        <f t="shared" si="2"/>
        <v>4.9912231640620304</v>
      </c>
      <c r="F22" s="9">
        <f t="shared" si="3"/>
        <v>2.1359166826422604</v>
      </c>
      <c r="G22" s="9">
        <f t="shared" si="4"/>
        <v>2.336806114500487</v>
      </c>
      <c r="H22" s="19">
        <f t="shared" si="5"/>
        <v>0.70031222501829482</v>
      </c>
      <c r="I22" s="99">
        <f t="shared" si="6"/>
        <v>0.33143198736100954</v>
      </c>
      <c r="J22" s="97">
        <f t="shared" si="12"/>
        <v>2.1359166826422604</v>
      </c>
      <c r="K22" s="69">
        <f t="shared" si="13"/>
        <v>7.0131884043992931</v>
      </c>
      <c r="L22" s="104"/>
      <c r="M22" s="100">
        <f t="shared" si="14"/>
        <v>1.0324262845891206</v>
      </c>
      <c r="N22" s="99">
        <f t="shared" si="9"/>
        <v>1.2513758937912685</v>
      </c>
      <c r="O22" s="99">
        <f t="shared" si="15"/>
        <v>7.0131884043992931</v>
      </c>
      <c r="P22" s="108">
        <f t="shared" si="11"/>
        <v>8.7761349078817261</v>
      </c>
      <c r="Q22" s="65"/>
    </row>
    <row r="23" spans="1:17" x14ac:dyDescent="0.35">
      <c r="A23" s="16"/>
      <c r="B23" s="27">
        <v>60</v>
      </c>
      <c r="C23" s="9">
        <f t="shared" si="0"/>
        <v>30.963756532073521</v>
      </c>
      <c r="D23" s="9">
        <f t="shared" si="1"/>
        <v>0.54041950027058416</v>
      </c>
      <c r="E23" s="9">
        <f t="shared" si="2"/>
        <v>5.7421401275393587</v>
      </c>
      <c r="F23" s="9">
        <f t="shared" si="3"/>
        <v>2.3228959972459067</v>
      </c>
      <c r="G23" s="9">
        <f t="shared" si="4"/>
        <v>2.4719746963908018</v>
      </c>
      <c r="H23" s="19">
        <f t="shared" si="5"/>
        <v>0.71197946775374743</v>
      </c>
      <c r="I23" s="99">
        <f t="shared" si="6"/>
        <v>0.32538997153474153</v>
      </c>
      <c r="J23" s="97">
        <f t="shared" si="12"/>
        <v>2.3228959972459067</v>
      </c>
      <c r="K23" s="69">
        <f t="shared" si="13"/>
        <v>8.1435286911824463</v>
      </c>
      <c r="L23" s="104"/>
      <c r="M23" s="100">
        <f t="shared" si="14"/>
        <v>1.1254977634049548</v>
      </c>
      <c r="N23" s="99">
        <f t="shared" si="9"/>
        <v>1.2560596683261358</v>
      </c>
      <c r="O23" s="99">
        <f t="shared" si="15"/>
        <v>8.1435286911824463</v>
      </c>
      <c r="P23" s="108">
        <f t="shared" si="11"/>
        <v>10.228757946850994</v>
      </c>
      <c r="Q23" s="65"/>
    </row>
  </sheetData>
  <sheetProtection sheet="1" objects="1" scenarios="1"/>
  <mergeCells count="2">
    <mergeCell ref="L2:M2"/>
    <mergeCell ref="P2:Q2"/>
  </mergeCells>
  <phoneticPr fontId="0" type="noConversion"/>
  <pageMargins left="0.5" right="0.5" top="1" bottom="1" header="0.5" footer="0.5"/>
  <pageSetup orientation="landscape" r:id="rId1"/>
  <headerFooter alignWithMargins="0">
    <oddFooter>&amp;F&amp;RPage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Url xmlns="e581e1af-00ea-413a-8e75-837892944e8f" xsi:nil="true"/>
    <Content_x0020_ClassificationTaxHTField1 xmlns="3b341044-0cd2-4806-a9f6-495c3fa5e2e2">
      <Terms xmlns="http://schemas.microsoft.com/office/infopath/2007/PartnerControls"/>
    </Content_x0020_ClassificationTaxHTField1>
    <Document_x0020_CategoryTaxHTField0 xmlns="1c905b94-56aa-4d3a-adc2-fbcde3a8a0b1">
      <Terms xmlns="http://schemas.microsoft.com/office/infopath/2007/PartnerControls"/>
    </Document_x0020_CategoryTaxHTField0>
    <fdb4a996203346eb9cb69409afff9ae0 xmlns="b000183b-e1be-4f03-a4c8-e535d0be7803" xsi:nil="true"/>
    <TaxCatchAll xmlns="c4fe4be5-56f4-467e-b4a4-a4b064910afa"/>
    <COCIS_x0020_KeywordsTaxHTField0 xmlns="3b341044-0cd2-4806-a9f6-495c3fa5e2e2">
      <Terms xmlns="http://schemas.microsoft.com/office/infopath/2007/PartnerControls"/>
    </COCIS_x0020_KeywordsTaxHTField0>
    <Description1 xmlns="c4fe4be5-56f4-467e-b4a4-a4b064910a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713D3C4779860749AF9E5DF47E7D0405" ma:contentTypeVersion="8" ma:contentTypeDescription="" ma:contentTypeScope="" ma:versionID="805668af7e85cc546abd65975ca82f33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b000183b-e1be-4f03-a4c8-e535d0be7803" xmlns:ns6="e581e1af-00ea-413a-8e75-837892944e8f" targetNamespace="http://schemas.microsoft.com/office/2006/metadata/properties" ma:root="true" ma:fieldsID="7c5700a4f5f1af91dfbdde38bb42b19f" ns2:_="" ns3:_="" ns4:_="" ns5:_="" ns6:_="">
    <xsd:import namespace="c4fe4be5-56f4-467e-b4a4-a4b064910afa"/>
    <xsd:import namespace="3b341044-0cd2-4806-a9f6-495c3fa5e2e2"/>
    <xsd:import namespace="1c905b94-56aa-4d3a-adc2-fbcde3a8a0b1"/>
    <xsd:import namespace="b000183b-e1be-4f03-a4c8-e535d0be7803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fdb4a996203346eb9cb69409afff9ae0" minOccurs="0"/>
                <xsd:element ref="ns6:Ol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0183b-e1be-4f03-a4c8-e535d0be780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20" nillable="true" ma:displayName="Content Classification_0" ma:hidden="true" ma:internalName="fdb4a996203346eb9cb69409afff9ae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1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Props1.xml><?xml version="1.0" encoding="utf-8"?>
<ds:datastoreItem xmlns:ds="http://schemas.openxmlformats.org/officeDocument/2006/customXml" ds:itemID="{E27534EC-F19C-4398-9112-7836C1857BC7}"/>
</file>

<file path=customXml/itemProps2.xml><?xml version="1.0" encoding="utf-8"?>
<ds:datastoreItem xmlns:ds="http://schemas.openxmlformats.org/officeDocument/2006/customXml" ds:itemID="{6BA47349-6348-40FA-8766-7C965D48B97D}"/>
</file>

<file path=customXml/itemProps3.xml><?xml version="1.0" encoding="utf-8"?>
<ds:datastoreItem xmlns:ds="http://schemas.openxmlformats.org/officeDocument/2006/customXml" ds:itemID="{DFE2EA0B-1429-421C-A66A-BC6B4E5B498E}"/>
</file>

<file path=customXml/itemProps4.xml><?xml version="1.0" encoding="utf-8"?>
<ds:datastoreItem xmlns:ds="http://schemas.openxmlformats.org/officeDocument/2006/customXml" ds:itemID="{902B7B9A-B858-43FC-8FB7-2DEE5DC67962}"/>
</file>

<file path=customXml/itemProps5.xml><?xml version="1.0" encoding="utf-8"?>
<ds:datastoreItem xmlns:ds="http://schemas.openxmlformats.org/officeDocument/2006/customXml" ds:itemID="{1142CCCC-9F12-4CD1-9AC3-F640234FD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LS3</vt:lpstr>
      <vt:lpstr>LS calc</vt:lpstr>
      <vt:lpstr>LS calc (lookup)</vt:lpstr>
      <vt:lpstr>B_Fact</vt:lpstr>
      <vt:lpstr>lamda_ps</vt:lpstr>
      <vt:lpstr>Land_Use</vt:lpstr>
      <vt:lpstr>'LS calc'!Print_Area</vt:lpstr>
      <vt:lpstr>'LS calc (lookup)'!Print_Area</vt:lpstr>
      <vt:lpstr>'LS calc'!Print_Titles</vt:lpstr>
      <vt:lpstr>'LS calc (lookup)'!Print_Titles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LS3 Calculator</dc:title>
  <cp:lastModifiedBy>kmitchell</cp:lastModifiedBy>
  <cp:lastPrinted>2018-03-22T20:25:57Z</cp:lastPrinted>
  <dcterms:created xsi:type="dcterms:W3CDTF">2002-06-26T15:03:19Z</dcterms:created>
  <dcterms:modified xsi:type="dcterms:W3CDTF">2018-04-06T14:44:49Z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COCIS Keywords">
    <vt:lpwstr/>
  </property>
  <property fmtid="{D5CDD505-2E9C-101B-9397-08002B2CF9AE}" pid="4" name="ContentTypeId">
    <vt:lpwstr>0x010100EA5EA32CF4385549BFA194A0FF8BD22E00713D3C4779860749AF9E5DF47E7D0405</vt:lpwstr>
  </property>
  <property fmtid="{D5CDD505-2E9C-101B-9397-08002B2CF9AE}" pid="5" name="Content Classification">
    <vt:lpwstr/>
  </property>
</Properties>
</file>